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7" i="38" l="1"/>
  <c r="T117" i="38"/>
  <c r="S118" i="38"/>
  <c r="T118" i="38"/>
  <c r="S119" i="38"/>
  <c r="T119" i="38"/>
  <c r="S120" i="38"/>
  <c r="T120" i="38"/>
  <c r="S121" i="38"/>
  <c r="T121" i="38"/>
  <c r="S122" i="38"/>
  <c r="T122" i="38"/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<sst xmlns="http://schemas.openxmlformats.org/spreadsheetml/2006/main" count="3936" uniqueCount="694">
  <si>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</si>
  <si>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</si>
  <si>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</si>
  <si>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</si>
  <si>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</si>
  <si>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</si>
  <si>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</si>
  <si>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</si>
  <si>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</si>
  <si>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</si>
  <si>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</si>
  <si>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</si>
  <si>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</si>
  <si>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</si>
  <si>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</si>
  <si>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</si>
  <si>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</si>
  <si>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</si>
  <si>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</si>
  <si>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</si>
  <si>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</si>
  <si>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</si>
  <si>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</si>
  <si>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</si>
  <si>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</si>
  <si>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</si>
  <si>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</si>
  <si>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</si>
  <si>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</si>
  <si>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</si>
  <si>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</si>
  <si>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</si>
  <si>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</si>
  <si>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</si>
  <si>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</si>
  <si>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</si>
  <si>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</si>
  <si>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</si>
  <si>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</si>
  <si>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</si>
  <si>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</si>
  <si>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</si>
  <si>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</si>
  <si>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</si>
  <si>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</si>
  <si>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</si>
  <si>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</si>
  <si>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</si>
  <si>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</si>
  <si>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</si>
  <si>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</si>
  <si>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</si>
  <si>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</si>
  <si>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</si>
  <si>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</si>
  <si>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</si>
  <si>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</si>
  <si>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</si>
  <si>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</si>
  <si>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</si>
  <si>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</si>
  <si>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</si>
  <si>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</si>
  <si>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</si>
  <si>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</si>
  <si>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</si>
  <si>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</si>
  <si>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</si>
  <si>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</si>
  <si>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</si>
  <si>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</si>
  <si>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</si>
  <si>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</si>
  <si>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</si>
  <si>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</si>
  <si>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</si>
  <si>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</si>
  <si>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</si>
  <si>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</si>
  <si>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</si>
  <si>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</si>
  <si>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</si>
  <si>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</si>
  <si>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</si>
  <si>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</si>
  <si>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</si>
  <si>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</si>
  <si>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</si>
  <si>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</si>
  <si>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</si>
  <si>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</si>
  <si>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</si>
  <si>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</si>
  <si>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</si>
  <si>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</si>
  <si>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</si>
  <si>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</si>
  <si>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</si>
  <si>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</si>
  <si>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</si>
  <si>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</si>
  <si>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</si>
  <si>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</si>
  <si>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</si>
  <si>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</si>
  <si>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</si>
  <si>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</si>
  <si>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</si>
  <si>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</si>
  <si>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</si>
  <si>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</si>
  <si>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</si>
  <si>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</si>
  <si>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</si>
  <si>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</si>
  <si>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</si>
  <si>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</si>
  <si>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</si>
  <si>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</si>
  <si>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</si>
  <si>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</si>
  <si>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</si>
  <si>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</si>
  <si>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</si>
  <si>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</si>
  <si>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</si>
  <si>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</si>
  <si>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</si>
  <si>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</si>
  <si>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</si>
  <si>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</si>
  <si>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</si>
  <si>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</si>
  <si>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</si>
  <si>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</si>
  <si>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</si>
  <si>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</si>
  <si>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</si>
  <si>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</si>
  <si>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</si>
  <si>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</si>
  <si>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</si>
  <si>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</si>
  <si>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</si>
  <si>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</si>
  <si>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</si>
  <si>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</si>
  <si>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</si>
  <si>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</si>
  <si>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</si>
  <si>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</si>
  <si>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</si>
  <si>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</si>
  <si>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</si>
  <si>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</si>
  <si>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</si>
  <si>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</si>
  <si>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</si>
  <si>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</si>
  <si>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</si>
  <si>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</si>
  <si>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</si>
  <si>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</si>
  <si>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</si>
  <si>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</si>
  <si>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</si>
  <si>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</si>
  <si>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</si>
  <si>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</si>
  <si>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</si>
  <si>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</si>
  <si>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</si>
  <si>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</si>
  <si>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</si>
  <si>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</si>
  <si>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</si>
  <si>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</si>
  <si>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</si>
  <si>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</si>
  <si>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</si>
  <si>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</si>
  <si>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</si>
  <si>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</si>
  <si>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</si>
  <si>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</si>
  <si>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</si>
  <si>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</si>
  <si>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</si>
  <si>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</si>
  <si>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</si>
  <si>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</si>
  <si>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</si>
  <si>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</si>
  <si>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</si>
  <si>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</si>
  <si>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</si>
  <si>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</si>
  <si>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</si>
  <si>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</si>
  <si>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</si>
  <si>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</si>
  <si>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</si>
  <si>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</si>
  <si>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</si>
  <si>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</si>
  <si>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</si>
  <si>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</si>
  <si>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</si>
  <si>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</si>
  <si>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</si>
  <si>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</si>
  <si>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</si>
  <si>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</si>
  <si>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</si>
  <si>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</si>
  <si>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</si>
  <si>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</si>
  <si>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</si>
  <si>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</si>
  <si>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</si>
  <si>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</si>
  <si>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</si>
  <si>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</si>
  <si>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</si>
  <si>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</si>
  <si>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</si>
  <si>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</si>
  <si>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</si>
  <si>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</si>
  <si>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</si>
  <si>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</si>
  <si>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</si>
  <si>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</si>
  <si>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</si>
  <si>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</si>
  <si>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</si>
  <si>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</si>
  <si>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</si>
  <si>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</si>
  <si>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</si>
  <si>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</si>
  <si>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</si>
  <si>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</si>
  <si>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</si>
  <si>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</si>
  <si>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</si>
  <si>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</si>
  <si>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</si>
  <si>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</si>
  <si>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</si>
  <si>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</si>
  <si>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</si>
  <si>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</si>
  <si>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</si>
  <si>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</si>
  <si>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</si>
  <si>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</si>
  <si>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</si>
  <si>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</si>
  <si>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</si>
  <si>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</si>
  <si>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</si>
  <si>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</si>
  <si>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</si>
  <si>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</si>
  <si>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</si>
  <si>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</si>
  <si>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</si>
  <si>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</si>
  <si>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</si>
  <si>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</si>
  <si>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</si>
  <si>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</si>
  <si>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</si>
  <si>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</si>
  <si>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</si>
  <si>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</si>
  <si>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</si>
  <si>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</si>
  <si>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</si>
  <si>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</si>
  <si>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</si>
  <si>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</si>
  <si>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</si>
  <si>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</si>
  <si>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</si>
  <si>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</si>
  <si>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</si>
  <si>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</si>
  <si>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</si>
  <si>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</si>
  <si>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</si>
  <si>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</si>
  <si>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</si>
  <si>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</si>
  <si>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</si>
  <si>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</si>
  <si>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</si>
  <si>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</si>
  <si>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</si>
  <si>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</si>
  <si>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</si>
  <si>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</si>
  <si>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</si>
  <si>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</si>
  <si>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</si>
  <si>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</si>
  <si>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</si>
  <si>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</si>
  <si>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</si>
  <si>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</si>
  <si>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</si>
  <si>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</si>
  <si>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</si>
  <si>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</si>
  <si>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</si>
  <si>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</si>
  <si>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</si>
  <si>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</si>
  <si>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</si>
  <si>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</si>
  <si>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</si>
  <si>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</si>
  <si>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</si>
  <si>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</si>
  <si>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</si>
  <si>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</si>
  <si>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</si>
  <si>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</si>
  <si>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</si>
  <si>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</si>
  <si>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</si>
  <si>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</si>
  <si>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</si>
  <si>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</si>
  <si>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</si>
  <si>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</si>
  <si>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</si>
  <si>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</si>
  <si>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</si>
  <si>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</si>
  <si>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</si>
  <si>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</si>
  <si>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</si>
  <si>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</si>
  <si>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</si>
  <si>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</si>
  <si>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</si>
  <si>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</si>
  <si>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</si>
  <si>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</si>
  <si>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</si>
  <si>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</si>
  <si>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</si>
  <si>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</si>
  <si>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</si>
  <si>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</si>
  <si>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</si>
  <si>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</si>
  <si>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</si>
  <si>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</si>
  <si>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</si>
  <si>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</si>
  <si>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</si>
  <si>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</si>
  <si>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</si>
  <si>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</si>
  <si>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</si>
  <si>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</si>
  <si>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</si>
  <si>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</si>
  <si>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</si>
  <si>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</si>
  <si>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</si>
  <si>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</si>
  <si>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</si>
  <si>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</si>
  <si>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</si>
  <si>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</si>
  <si>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</si>
  <si>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</si>
  <si>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</si>
  <si>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</si>
  <si>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</si>
  <si>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</si>
  <si>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</si>
  <si>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</si>
  <si>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</si>
  <si>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</si>
  <si>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</si>
  <si>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</si>
  <si>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</si>
  <si>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</si>
  <si>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</si>
  <si>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</si>
  <si>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</si>
  <si>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</si>
  <si>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</si>
  <si>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</si>
  <si>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</si>
  <si>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</si>
  <si>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</si>
  <si>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</si>
  <si>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</si>
  <si>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</si>
  <si>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</si>
  <si>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</si>
  <si>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</si>
  <si>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</si>
  <si>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</si>
  <si>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</si>
  <si>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</si>
  <si>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</si>
  <si>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</si>
  <si>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</si>
  <si>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</si>
  <si>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</si>
  <si>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</si>
  <si>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</si>
  <si>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</si>
  <si>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</si>
  <si>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</si>
  <si>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</si>
  <si>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</si>
  <si>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</si>
  <si>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</si>
  <si>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</si>
  <si>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</si>
  <si>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</si>
  <si>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</si>
  <si>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</si>
  <si>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</si>
  <si>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</si>
  <si>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</si>
  <si>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</si>
  <si>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</si>
  <si>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</si>
  <si>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</si>
  <si>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</si>
  <si>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</si>
  <si>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</si>
  <si>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</si>
  <si>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</si>
  <si>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</si>
  <si>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</si>
  <si>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</si>
  <si>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</si>
  <si>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</si>
  <si>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</si>
  <si>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</si>
  <si>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</si>
  <si>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</si>
  <si>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</si>
  <si>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</si>
  <si>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</si>
  <si>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</si>
  <si>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</si>
  <si>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</si>
  <si>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</si>
  <si>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</si>
  <si>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</si>
  <si>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</si>
  <si>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</si>
  <si>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</si>
  <si>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</si>
  <si>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</si>
  <si>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</si>
  <si>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</si>
  <si>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</si>
  <si>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</si>
  <si>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</si>
  <si>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</si>
  <si>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</si>
  <si>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</si>
  <si>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</si>
  <si>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</si>
  <si>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</si>
  <si>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</si>
  <si>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</si>
  <si>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</si>
  <si>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</si>
  <si>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</si>
  <si>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</si>
  <si>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</si>
  <si>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</si>
  <si>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</si>
  <si>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</si>
  <si>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</si>
  <si>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</si>
  <si>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</si>
  <si>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</si>
  <si>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</si>
  <si>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</si>
  <si>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</si>
  <si>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</si>
  <si>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</si>
  <si>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</si>
  <si>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</si>
  <si>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</si>
  <si>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</si>
  <si>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</si>
  <si>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</si>
  <si>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</si>
  <si>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</si>
  <si>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</si>
  <si>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</si>
  <si>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</si>
  <si>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</si>
  <si>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</si>
  <si>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</si>
  <si>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</si>
  <si>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</si>
  <si>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</si>
  <si>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</si>
  <si>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</si>
  <si>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</si>
  <si>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</si>
  <si>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</si>
  <si>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</si>
  <si>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</si>
  <si>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</si>
  <si>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</si>
  <si>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</si>
  <si>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</si>
  <si>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</si>
  <si>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</si>
  <si>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</si>
  <si>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</si>
  <si>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</si>
  <si>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</si>
  <si>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</si>
  <si>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</si>
  <si>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</si>
  <si>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</si>
  <si>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</si>
  <si>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</si>
  <si>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</si>
  <si>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</si>
  <si>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</si>
  <si>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</si>
  <si>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</si>
  <si>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</si>
  <si>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</si>
  <si>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</si>
  <si>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</si>
  <si>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</si>
  <si>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</si>
  <si>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</si>
  <si>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</si>
  <si>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</si>
  <si>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</si>
  <si>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</si>
  <si>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</si>
  <si>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</si>
  <si>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</si>
  <si>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</si>
  <si>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</si>
  <si>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</si>
  <si>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</si>
  <si>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</si>
  <si>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</si>
  <si>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</si>
  <si>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</si>
  <si>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</si>
  <si>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</si>
  <si>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</si>
  <si>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</si>
  <si>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</si>
  <si>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</si>
  <si>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</si>
  <si>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</si>
  <si>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</si>
  <si>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</si>
  <si>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</si>
  <si>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</si>
  <si>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</si>
  <si>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</si>
  <si>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</si>
  <si>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</si>
  <si>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</si>
  <si>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</si>
  <si>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</si>
  <si>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</si>
  <si>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</si>
  <si>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</si>
  <si>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</si>
  <si>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</si>
  <si>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</si>
  <si>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</si>
  <si>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</si>
  <si>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</si>
  <si>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</si>
  <si>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</si>
  <si>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</si>
  <si>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</si>
  <si>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</si>
  <si>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</si>
  <si>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</si>
  <si>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</si>
  <si>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</si>
  <si>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</si>
  <si>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</si>
  <si>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</si>
  <si>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</si>
  <si>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</si>
  <si>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</si>
  <si>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</si>
  <si>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</si>
  <si>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</si>
  <si>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</si>
  <si>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</si>
  <si>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</si>
  <si>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</si>
  <si>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</si>
  <si>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</si>
  <si>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</si>
  <si>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</si>
  <si>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</si>
  <si>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</si>
  <si>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</si>
  <si>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</si>
  <si>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</si>
  <si>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</si>
  <si>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</si>
  <si>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</si>
  <si>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</si>
  <si>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</si>
  <si>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</si>
  <si>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</si>
  <si>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</si>
  <si>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</si>
  <si>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</si>
  <si>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</si>
  <si>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</si>
  <si>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</si>
  <si>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</si>
  <si>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</si>
  <si>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</si>
  <si>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</si>
  <si>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</si>
  <si>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</si>
  <si>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</si>
  <si>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</si>
  <si>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</si>
  <si>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</si>
  <si>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</si>
  <si>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</si>
  <si>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</si>
  <si>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</si>
  <si>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</si>
  <si>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</si>
  <si>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</si>
  <si>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</si>
  <si>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</si>
  <si>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</si>
  <si>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</si>
  <si>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</si>
  <si>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</si>
  <si>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</si>
  <si>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</si>
  <si>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</si>
  <si>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</si>
  <si>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</si>
  <si>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</si>
  <si>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</si>
  <si>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</si>
  <si>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</si>
  <si>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</si>
  <si>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</si>
  <si>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</si>
  <si>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</si>
  <si>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</si>
  <si>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</si>
  <si>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</si>
  <si>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</si>
  <si>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</si>
  <si>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</si>
  <si>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</si>
  <si>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</si>
  <si>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</si>
  <si>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</si>
  <si>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</si>
  <si>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</si>
  <si>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</si>
  <si>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</si>
  <si>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</si>
  <si>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</si>
  <si>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</si>
  <si>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</si>
  <si>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</si>
  <si>
    <t>Transfer S 6-Ene-22</t>
  </si>
  <si>
    <t>Tramsfer B 5-Ene-22</t>
  </si>
  <si>
    <t>Transfer Bnte 3-Ene-22</t>
  </si>
  <si>
    <t>Transfer Bnte 11-Ene-22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</si>
</sst>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4" fontId="18" fillId="0" borderId="77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/>
    <xf numFmtId="0" fontId="81" fillId="2" borderId="77" xfId="0" applyFont="1" applyFill="1" applyBorder="1" applyAlignment="1">
      <alignment horizontal="left"/>
    </xf>
    <xf numFmtId="166" fontId="7" fillId="25" borderId="33" xfId="0" applyNumberFormat="1" applyFont="1" applyFill="1" applyBorder="1" applyAlignment="1">
      <alignment horizontal="right"/>
    </xf>
    <xf numFmtId="166" fontId="7" fillId="25" borderId="33" xfId="0" applyNumberFormat="1" applyFont="1" applyFill="1" applyBorder="1"/>
    <xf numFmtId="166" fontId="7" fillId="25" borderId="33" xfId="0" applyNumberFormat="1" applyFont="1" applyFill="1" applyBorder="1" applyAlignment="1">
      <alignment horizontal="center"/>
    </xf>
    <xf numFmtId="44" fontId="7" fillId="25" borderId="33" xfId="1" applyFont="1" applyFill="1" applyBorder="1"/>
    <xf numFmtId="0" fontId="3" fillId="4" borderId="0" xfId="0" applyFont="1" applyFill="1" applyAlignment="1">
      <alignment horizontal="center"/>
    </xf>
    <xf numFmtId="4" fontId="7" fillId="4" borderId="5" xfId="0" applyNumberFormat="1" applyFont="1" applyFill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10" fillId="2" borderId="95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4" fontId="7" fillId="25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00FFCC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  <c:pt idx="36">
                  <c:v>27840</c:v>
                </c:pt>
                <c:pt idx="37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3712</c:v>
                </c:pt>
                <c:pt idx="3">
                  <c:v>3654</c:v>
                </c:pt>
                <c:pt idx="4">
                  <c:v>3654</c:v>
                </c:pt>
                <c:pt idx="5" formatCode="General">
                  <c:v>0</c:v>
                </c:pt>
                <c:pt idx="6">
                  <c:v>3712</c:v>
                </c:pt>
                <c:pt idx="7" formatCode="_(&quot;$&quot;* #,##0.00_);_(&quot;$&quot;* \(#,##0.00\);_(&quot;$&quot;* &quot;-&quot;??_);_(@_)">
                  <c:v>3654</c:v>
                </c:pt>
                <c:pt idx="8" formatCode="_(&quot;$&quot;* #,##0.00_);_(&quot;$&quot;* \(#,##0.00\);_(&quot;$&quot;* &quot;-&quot;??_);_(@_)">
                  <c:v>3683</c:v>
                </c:pt>
                <c:pt idx="9" formatCode="_(&quot;$&quot;* #,##0.00_);_(&quot;$&quot;* \(#,##0.00\);_(&quot;$&quot;* &quot;-&quot;??_);_(@_)">
                  <c:v>3683</c:v>
                </c:pt>
                <c:pt idx="10" formatCode="_(&quot;$&quot;* #,##0.00_);_(&quot;$&quot;* \(#,##0.00\);_(&quot;$&quot;* &quot;-&quot;??_);_(@_)">
                  <c:v>3683</c:v>
                </c:pt>
                <c:pt idx="11" formatCode="_(&quot;$&quot;* #,##0.00_);_(&quot;$&quot;* \(#,##0.00\);_(&quot;$&quot;* &quot;-&quot;??_);_(@_)">
                  <c:v>3712</c:v>
                </c:pt>
                <c:pt idx="12" formatCode="_(&quot;$&quot;* #,##0.00_);_(&quot;$&quot;* \(#,##0.00\);_(&quot;$&quot;* &quot;-&quot;??_);_(@_)">
                  <c:v>3538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71441.84</c:v>
                </c:pt>
                <c:pt idx="2">
                  <c:v>633691.57545</c:v>
                </c:pt>
                <c:pt idx="3">
                  <c:v>615251.08334000001</c:v>
                </c:pt>
                <c:pt idx="4">
                  <c:v>607519.08050000004</c:v>
                </c:pt>
                <c:pt idx="5">
                  <c:v>630300.92000000004</c:v>
                </c:pt>
                <c:pt idx="6">
                  <c:v>631807.19659999991</c:v>
                </c:pt>
                <c:pt idx="7">
                  <c:v>620583.47785000002</c:v>
                </c:pt>
                <c:pt idx="8">
                  <c:v>624320.87239999999</c:v>
                </c:pt>
                <c:pt idx="9">
                  <c:v>619624.7648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601302.01911999995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562089.64779999992</c:v>
                </c:pt>
                <c:pt idx="37">
                  <c:v>560410.52879999997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3.8518821947735487</c:v>
                </c:pt>
                <c:pt idx="2">
                  <c:v>33.13970215644666</c:v>
                </c:pt>
                <c:pt idx="3">
                  <c:v>33.268846049733661</c:v>
                </c:pt>
                <c:pt idx="4">
                  <c:v>33.004001352948379</c:v>
                </c:pt>
                <c:pt idx="5">
                  <c:v>34.300410864229782</c:v>
                </c:pt>
                <c:pt idx="6">
                  <c:v>33.34426185740594</c:v>
                </c:pt>
                <c:pt idx="7">
                  <c:v>32.414482431201023</c:v>
                </c:pt>
                <c:pt idx="8">
                  <c:v>32.752289771743634</c:v>
                </c:pt>
                <c:pt idx="9">
                  <c:v>32.886344157015934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31.66497375496985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29.56935559435243</c:v>
                </c:pt>
                <c:pt idx="37">
                  <c:v>29.410174100418409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94" activePane="bottomRight" state="frozen"/>
      <selection pane="topRight" activeCell="B1" sqref="B1"/>
      <selection pane="bottomLeft" activeCell="A3" sqref="A3"/>
      <selection pane="bottomRight" activeCell="P99" sqref="P9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3" customWidth="1"/>
    <col min="13" max="13" width="14.140625" bestFit="1" customWidth="1"/>
    <col min="14" max="14" width="16" style="193" customWidth="1"/>
    <col min="15" max="15" width="16.28515625" style="61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6"/>
      <c r="F1" s="54"/>
      <c r="G1" s="716"/>
      <c r="H1" s="54"/>
      <c r="I1" s="377"/>
      <c r="K1" s="1150" t="s">
        <v>26</v>
      </c>
      <c r="L1" s="676"/>
      <c r="M1" s="1152" t="s">
        <v>27</v>
      </c>
      <c r="N1" s="478"/>
      <c r="P1" s="98" t="s">
        <v>38</v>
      </c>
      <c r="Q1" s="1148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57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51"/>
      <c r="L2" s="677" t="s">
        <v>29</v>
      </c>
      <c r="M2" s="1153"/>
      <c r="N2" s="479" t="s">
        <v>29</v>
      </c>
      <c r="O2" s="613" t="s">
        <v>30</v>
      </c>
      <c r="P2" s="99" t="s">
        <v>39</v>
      </c>
      <c r="Q2" s="114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58">
        <f>PIERNA!E3</f>
        <v>0</v>
      </c>
      <c r="F3" s="749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78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1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49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4"/>
      <c r="P4" s="1132">
        <v>3712</v>
      </c>
      <c r="Q4" s="1021"/>
      <c r="R4" s="1022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0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49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1132">
        <v>3741</v>
      </c>
      <c r="Q5" s="1023">
        <f>27877.84</f>
        <v>27877.84</v>
      </c>
      <c r="R5" s="1024" t="s">
        <v>292</v>
      </c>
      <c r="S5" s="66">
        <f>Q5+M5+K5+P5</f>
        <v>71441.84</v>
      </c>
      <c r="T5" s="66">
        <f>S5/H5+0.1</f>
        <v>3.8518821947735487</v>
      </c>
      <c r="U5" s="210"/>
    </row>
    <row r="6" spans="1:29" s="163" customFormat="1" ht="24.75" x14ac:dyDescent="0.25">
      <c r="A6" s="101">
        <v>3</v>
      </c>
      <c r="B6" s="1019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49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1132">
        <v>3712</v>
      </c>
      <c r="Q6" s="1023">
        <f>27677.41*21.245</f>
        <v>588006.57545</v>
      </c>
      <c r="R6" s="1025" t="s">
        <v>293</v>
      </c>
      <c r="S6" s="66">
        <f t="shared" si="0"/>
        <v>633691.57545</v>
      </c>
      <c r="T6" s="66">
        <f>S6/H6+0.1</f>
        <v>33.13970215644666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49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1133">
        <v>3654</v>
      </c>
      <c r="Q7" s="601">
        <f>27084.18*21.063</f>
        <v>570474.08334000001</v>
      </c>
      <c r="R7" s="602" t="s">
        <v>300</v>
      </c>
      <c r="S7" s="66">
        <f t="shared" si="0"/>
        <v>615251.08334000001</v>
      </c>
      <c r="T7" s="66">
        <f>S7/H7</f>
        <v>33.268846049733661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49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4">
        <v>91474</v>
      </c>
      <c r="P8" s="1134">
        <v>3654</v>
      </c>
      <c r="Q8" s="601">
        <f>26885.65*20.97</f>
        <v>563792.08050000004</v>
      </c>
      <c r="R8" s="602" t="s">
        <v>296</v>
      </c>
      <c r="S8" s="66">
        <f t="shared" si="0"/>
        <v>607519.08050000004</v>
      </c>
      <c r="T8" s="66">
        <f t="shared" ref="T8:T41" si="4">S8/H8+0.1</f>
        <v>33.004001352948379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49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3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49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1132">
        <v>3712</v>
      </c>
      <c r="Q10" s="601">
        <f>27515.07*21.38</f>
        <v>588272.19659999991</v>
      </c>
      <c r="R10" s="602" t="s">
        <v>295</v>
      </c>
      <c r="S10" s="66">
        <f>Q10+M10+K10+P10</f>
        <v>631807.19659999991</v>
      </c>
      <c r="T10" s="66">
        <f>S10/H10+0.1</f>
        <v>33.34426185740594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49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5">
        <v>1979299</v>
      </c>
      <c r="P11" s="1135">
        <v>3654</v>
      </c>
      <c r="Q11" s="601">
        <f>27037.69*21.265</f>
        <v>574956.47785000002</v>
      </c>
      <c r="R11" s="602" t="s">
        <v>297</v>
      </c>
      <c r="S11" s="66">
        <f t="shared" si="0"/>
        <v>620583.47785000002</v>
      </c>
      <c r="T11" s="66">
        <f>S11/H11+0.1</f>
        <v>32.414482431201023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49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5">
        <v>1980099</v>
      </c>
      <c r="P12" s="1135">
        <v>3683</v>
      </c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49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5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5">
        <v>1980100</v>
      </c>
      <c r="P13" s="1135">
        <v>3683</v>
      </c>
      <c r="Q13" s="604">
        <f>27012.16*21.28</f>
        <v>574818.7648</v>
      </c>
      <c r="R13" s="602" t="s">
        <v>329</v>
      </c>
      <c r="S13" s="66">
        <f t="shared" si="0"/>
        <v>619624.7648</v>
      </c>
      <c r="T13" s="66">
        <f t="shared" si="5"/>
        <v>32.886344157015934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49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1135">
        <v>3683</v>
      </c>
      <c r="Q14" s="604">
        <f>27065.49*21.255</f>
        <v>575276.98994999996</v>
      </c>
      <c r="R14" s="606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69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49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5" t="s">
        <v>321</v>
      </c>
      <c r="K15" s="598">
        <v>11963</v>
      </c>
      <c r="L15" s="599" t="s">
        <v>331</v>
      </c>
      <c r="M15" s="598">
        <v>30160</v>
      </c>
      <c r="N15" s="607" t="s">
        <v>332</v>
      </c>
      <c r="O15" s="614">
        <v>701817</v>
      </c>
      <c r="P15" s="1135">
        <v>3712</v>
      </c>
      <c r="Q15" s="604">
        <f>26968.22*20.99</f>
        <v>566062.93779999996</v>
      </c>
      <c r="R15" s="608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49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3" t="s">
        <v>322</v>
      </c>
      <c r="K16" s="598">
        <v>11813</v>
      </c>
      <c r="L16" s="599" t="s">
        <v>333</v>
      </c>
      <c r="M16" s="598">
        <v>30160</v>
      </c>
      <c r="N16" s="607" t="s">
        <v>335</v>
      </c>
      <c r="O16" s="615">
        <v>1981176</v>
      </c>
      <c r="P16" s="1135">
        <v>3538</v>
      </c>
      <c r="Q16" s="601">
        <f>26383.32*21.066</f>
        <v>555791.01911999995</v>
      </c>
      <c r="R16" s="602" t="s">
        <v>296</v>
      </c>
      <c r="S16" s="66">
        <f t="shared" si="0"/>
        <v>601302.01911999995</v>
      </c>
      <c r="T16" s="66">
        <f t="shared" si="5"/>
        <v>31.66497375496985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2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49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7"/>
      <c r="O17" s="603">
        <v>299</v>
      </c>
      <c r="P17" s="1043" t="s">
        <v>380</v>
      </c>
      <c r="Q17" s="601">
        <v>664850.9</v>
      </c>
      <c r="R17" s="606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49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79" t="s">
        <v>436</v>
      </c>
      <c r="M18" s="598">
        <v>30160</v>
      </c>
      <c r="N18" s="600" t="s">
        <v>436</v>
      </c>
      <c r="O18" s="616">
        <v>1981916</v>
      </c>
      <c r="P18" s="578"/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0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49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553"/>
      <c r="Q19" s="601">
        <f>27244.05*20.877</f>
        <v>568774.03184999991</v>
      </c>
      <c r="R19" s="609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49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601"/>
      <c r="Q20" s="601">
        <f>23578.8*20.89</f>
        <v>492561.13199999998</v>
      </c>
      <c r="R20" s="609" t="s">
        <v>325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49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601"/>
      <c r="Q21" s="601">
        <f>29237.47*21.045</f>
        <v>615302.55615000008</v>
      </c>
      <c r="R21" s="609" t="s">
        <v>326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2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5">
        <v>1983214</v>
      </c>
      <c r="P22" s="578"/>
      <c r="Q22" s="601">
        <f>29597.53*21.045</f>
        <v>622880.01884999999</v>
      </c>
      <c r="R22" s="609" t="s">
        <v>326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2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6">
        <v>1983215</v>
      </c>
      <c r="P23" s="601"/>
      <c r="Q23" s="601">
        <f>29383.87*21.25</f>
        <v>624407.23749999993</v>
      </c>
      <c r="R23" s="609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0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2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601"/>
      <c r="Q24" s="601">
        <f>29213.65*21.21</f>
        <v>619621.51650000003</v>
      </c>
      <c r="R24" s="609" t="s">
        <v>395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3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2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09" t="s">
        <v>390</v>
      </c>
      <c r="O25" s="603">
        <v>712670</v>
      </c>
      <c r="P25" s="578"/>
      <c r="Q25" s="601">
        <f>28000*20.768+834.49*20.83</f>
        <v>598886.42669999995</v>
      </c>
      <c r="R25" s="584" t="s">
        <v>396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4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2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09" t="s">
        <v>391</v>
      </c>
      <c r="O26" s="603">
        <v>711702</v>
      </c>
      <c r="P26" s="601"/>
      <c r="Q26" s="601">
        <f>28692.69*20.775</f>
        <v>596090.63474999997</v>
      </c>
      <c r="R26" s="609" t="s">
        <v>386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2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09" t="s">
        <v>390</v>
      </c>
      <c r="O27" s="603">
        <v>714606</v>
      </c>
      <c r="P27" s="601"/>
      <c r="Q27" s="601">
        <f>27910.1*20.753</f>
        <v>579218.30530000001</v>
      </c>
      <c r="R27" s="609" t="s">
        <v>387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2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09" t="s">
        <v>390</v>
      </c>
      <c r="O28" s="603">
        <v>1984413</v>
      </c>
      <c r="P28" s="601"/>
      <c r="Q28" s="601">
        <f>27980.44*20.98</f>
        <v>587029.63119999995</v>
      </c>
      <c r="R28" s="584" t="s">
        <v>384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2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09" t="s">
        <v>429</v>
      </c>
      <c r="O29" s="616">
        <v>1984414</v>
      </c>
      <c r="P29" s="601"/>
      <c r="Q29" s="601">
        <f>28022.48*20.77</f>
        <v>582026.90960000001</v>
      </c>
      <c r="R29" s="584" t="s">
        <v>383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5">
        <f>PIERNA!JO5</f>
        <v>19104.060000000001</v>
      </c>
      <c r="G30" s="976">
        <f>PIERNA!JP5</f>
        <v>21</v>
      </c>
      <c r="H30" s="977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09" t="s">
        <v>392</v>
      </c>
      <c r="O30" s="616">
        <v>1984770</v>
      </c>
      <c r="P30" s="601"/>
      <c r="Q30" s="601">
        <f>26777.03*20.785</f>
        <v>556560.56854999997</v>
      </c>
      <c r="R30" s="584" t="s">
        <v>385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2" t="str">
        <f>PIERNA!JV5</f>
        <v>Seaboard</v>
      </c>
      <c r="D31" s="577" t="str">
        <f>PIERNA!JW5</f>
        <v>PED. 75417567</v>
      </c>
      <c r="E31" s="476">
        <f>PIERNA!JX5</f>
        <v>44554</v>
      </c>
      <c r="F31" s="975">
        <f>PIERNA!JY5</f>
        <v>19049.900000000001</v>
      </c>
      <c r="G31" s="976">
        <f>PIERNA!JZ5</f>
        <v>21</v>
      </c>
      <c r="H31" s="977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09" t="s">
        <v>391</v>
      </c>
      <c r="O31" s="616">
        <v>1984771</v>
      </c>
      <c r="P31" s="601"/>
      <c r="Q31" s="601">
        <f>26684.26*20.755</f>
        <v>553831.81629999995</v>
      </c>
      <c r="R31" s="584" t="s">
        <v>383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5">
        <f>PIERNA!KI5</f>
        <v>18914.25</v>
      </c>
      <c r="G32" s="976">
        <f>PIERNA!KJ5</f>
        <v>21</v>
      </c>
      <c r="H32" s="977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09" t="s">
        <v>429</v>
      </c>
      <c r="O32" s="616">
        <v>1984769</v>
      </c>
      <c r="P32" s="601"/>
      <c r="Q32" s="601">
        <f>26547.01*20.77</f>
        <v>551381.39769999997</v>
      </c>
      <c r="R32" s="584" t="s">
        <v>383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78">
        <f>PIERNA!KS5</f>
        <v>18868.09</v>
      </c>
      <c r="G33" s="979">
        <f>PIERNA!KT5</f>
        <v>21</v>
      </c>
      <c r="H33" s="977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09" t="s">
        <v>410</v>
      </c>
      <c r="O33" s="616">
        <v>1986038</v>
      </c>
      <c r="P33" s="656"/>
      <c r="Q33" s="601">
        <f>27282.2*20.78</f>
        <v>566924.11600000004</v>
      </c>
      <c r="R33" s="584" t="s">
        <v>437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78">
        <f>PIERNA!F34</f>
        <v>18387.689999999999</v>
      </c>
      <c r="G34" s="979">
        <f>PIERNA!G34</f>
        <v>20</v>
      </c>
      <c r="H34" s="977">
        <f>PIERNA!H34</f>
        <v>18445.669999999998</v>
      </c>
      <c r="I34" s="288">
        <f>PIERNA!I34</f>
        <v>-57.979999999999563</v>
      </c>
      <c r="J34" s="1065" t="s">
        <v>405</v>
      </c>
      <c r="K34" s="1066">
        <f>11803+5250</f>
        <v>17053</v>
      </c>
      <c r="L34" s="599" t="s">
        <v>439</v>
      </c>
      <c r="M34" s="598">
        <v>30160</v>
      </c>
      <c r="N34" s="609" t="s">
        <v>410</v>
      </c>
      <c r="O34" s="655">
        <v>717863</v>
      </c>
      <c r="P34" s="601"/>
      <c r="Q34" s="658">
        <f>25229.18*20.63</f>
        <v>520477.98339999997</v>
      </c>
      <c r="R34" s="659" t="s">
        <v>438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78">
        <f>PIERNA!F35</f>
        <v>18533.84</v>
      </c>
      <c r="G35" s="980">
        <f>PIERNA!G35</f>
        <v>20</v>
      </c>
      <c r="H35" s="977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09" t="s">
        <v>410</v>
      </c>
      <c r="O35" s="655">
        <v>721621</v>
      </c>
      <c r="P35" s="656"/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59">
        <f>PIERNA!E36</f>
        <v>44559</v>
      </c>
      <c r="F36" s="753">
        <f>PIERNA!F36</f>
        <v>18934.95</v>
      </c>
      <c r="G36" s="650">
        <f>PIERNA!G36</f>
        <v>21</v>
      </c>
      <c r="H36" s="649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5">
        <v>1985712</v>
      </c>
      <c r="P36" s="656"/>
      <c r="Q36" s="598">
        <f>27472.94*20.78</f>
        <v>570887.69319999998</v>
      </c>
      <c r="R36" s="609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2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09" t="s">
        <v>430</v>
      </c>
      <c r="O37" s="603">
        <v>1986972</v>
      </c>
      <c r="P37" s="601"/>
      <c r="Q37" s="601">
        <f>27354.71*20.775</f>
        <v>568294.1002499999</v>
      </c>
      <c r="R37" s="609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2" t="str">
        <f>PIERNA!B38</f>
        <v>DISTRIBUIDORA ASGAR</v>
      </c>
      <c r="C38" s="159" t="str">
        <f>PIERNA!C38</f>
        <v>CLEMENS FOOD</v>
      </c>
      <c r="D38" s="981" t="str">
        <f>PIERNA!D38</f>
        <v>PED. 75530313</v>
      </c>
      <c r="E38" s="261">
        <f>PIERNA!E38</f>
        <v>44560</v>
      </c>
      <c r="F38" s="982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09"/>
      <c r="O38" s="603">
        <v>324</v>
      </c>
      <c r="P38" s="601"/>
      <c r="Q38" s="1123">
        <v>648588.5</v>
      </c>
      <c r="R38" s="1124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1" t="str">
        <f>PIERNA!D39</f>
        <v>PED. 75641030</v>
      </c>
      <c r="E39" s="261">
        <f>PIERNA!E39</f>
        <v>44561</v>
      </c>
      <c r="F39" s="982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3" t="s">
        <v>431</v>
      </c>
      <c r="O39" s="616">
        <v>1986973</v>
      </c>
      <c r="P39" s="644"/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57" t="str">
        <f>PIERNA!D40</f>
        <v>PED. 75659701</v>
      </c>
      <c r="E40" s="1058">
        <f>PIERNA!E40</f>
        <v>44563</v>
      </c>
      <c r="F40" s="1059">
        <f>PIERNA!F40</f>
        <v>18943.84</v>
      </c>
      <c r="G40" s="1060">
        <f>PIERNA!G40</f>
        <v>21</v>
      </c>
      <c r="H40" s="1061">
        <f>PIERNA!H40</f>
        <v>19073.7</v>
      </c>
      <c r="I40" s="1061">
        <f>PIERNA!I40</f>
        <v>-129.86000000000058</v>
      </c>
      <c r="J40" s="1062" t="s">
        <v>425</v>
      </c>
      <c r="K40" s="641">
        <v>10963</v>
      </c>
      <c r="L40" s="599" t="s">
        <v>431</v>
      </c>
      <c r="M40" s="1130">
        <v>27840</v>
      </c>
      <c r="N40" s="1131" t="s">
        <v>692</v>
      </c>
      <c r="O40" s="616">
        <v>1987349</v>
      </c>
      <c r="P40" s="644"/>
      <c r="Q40" s="601">
        <f>25297.88*20.685</f>
        <v>523286.64779999998</v>
      </c>
      <c r="R40" s="584" t="s">
        <v>387</v>
      </c>
      <c r="S40" s="66">
        <f>Q40+M40+K40+P40</f>
        <v>562089.64779999992</v>
      </c>
      <c r="T40" s="66">
        <f t="shared" si="4"/>
        <v>29.56935559435243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57" t="str">
        <f>PIERNA!D41</f>
        <v>PED. 75659167</v>
      </c>
      <c r="E41" s="1058">
        <f>PIERNA!E41</f>
        <v>44563</v>
      </c>
      <c r="F41" s="1059">
        <f>PIERNA!F41</f>
        <v>18944.310000000001</v>
      </c>
      <c r="G41" s="1060">
        <f>PIERNA!G41</f>
        <v>21</v>
      </c>
      <c r="H41" s="1061">
        <f>PIERNA!H41</f>
        <v>19120</v>
      </c>
      <c r="I41" s="1061">
        <f>PIERNA!I41</f>
        <v>-175.68999999999869</v>
      </c>
      <c r="J41" s="1062" t="s">
        <v>426</v>
      </c>
      <c r="K41" s="642">
        <v>9663</v>
      </c>
      <c r="L41" s="599" t="s">
        <v>431</v>
      </c>
      <c r="M41" s="1130">
        <v>27840</v>
      </c>
      <c r="N41" s="1131" t="s">
        <v>693</v>
      </c>
      <c r="O41" s="616">
        <v>1986974</v>
      </c>
      <c r="P41" s="644"/>
      <c r="Q41" s="601">
        <f>25359.24*20.62</f>
        <v>522907.52880000003</v>
      </c>
      <c r="R41" s="584" t="s">
        <v>427</v>
      </c>
      <c r="S41" s="66">
        <f>Q41+M41+K41+P41</f>
        <v>560410.52879999997</v>
      </c>
      <c r="T41" s="66">
        <f t="shared" si="4"/>
        <v>29.410174100418409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3">
        <f>PIERNA!C42</f>
        <v>0</v>
      </c>
      <c r="D42" s="187">
        <f>PIERNA!D42</f>
        <v>0</v>
      </c>
      <c r="E42" s="140">
        <f>PIERNA!E42</f>
        <v>0</v>
      </c>
      <c r="F42" s="749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1"/>
      <c r="L42" s="599"/>
      <c r="M42" s="598"/>
      <c r="N42" s="643"/>
      <c r="O42" s="616"/>
      <c r="P42" s="644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49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1"/>
      <c r="L43" s="599"/>
      <c r="M43" s="598"/>
      <c r="N43" s="643"/>
      <c r="O43" s="616"/>
      <c r="P43" s="644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49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7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49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7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49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7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49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18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49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7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49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7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49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7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49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7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49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7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49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7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49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7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4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7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49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7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49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7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49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7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49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7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49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0"/>
      <c r="M60" s="529"/>
      <c r="N60" s="303"/>
      <c r="O60" s="617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49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7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49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7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49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7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49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7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49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7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49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19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49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19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49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19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49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19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49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49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49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49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49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49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49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49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49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49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49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49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49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49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49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49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49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49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49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49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49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49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49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49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49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49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49"/>
      <c r="G96" s="173"/>
      <c r="H96" s="560"/>
      <c r="I96" s="107"/>
      <c r="J96" s="515"/>
      <c r="K96" s="300"/>
      <c r="L96" s="307"/>
      <c r="M96" s="279"/>
      <c r="N96" s="539"/>
      <c r="O96" s="617"/>
      <c r="P96" s="762"/>
      <c r="Q96" s="733"/>
      <c r="R96" s="734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49"/>
      <c r="G97" s="173"/>
      <c r="H97" s="560"/>
      <c r="I97" s="107"/>
      <c r="J97" s="735"/>
      <c r="K97" s="598"/>
      <c r="L97" s="599"/>
      <c r="M97" s="598"/>
      <c r="N97" s="829"/>
      <c r="O97" s="784"/>
      <c r="P97" s="601"/>
      <c r="Q97" s="598"/>
      <c r="R97" s="657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2" t="s">
        <v>280</v>
      </c>
      <c r="C98" s="822" t="s">
        <v>281</v>
      </c>
      <c r="D98" s="822"/>
      <c r="E98" s="844">
        <v>44536</v>
      </c>
      <c r="F98" s="940">
        <v>2740.24</v>
      </c>
      <c r="G98" s="822">
        <v>222</v>
      </c>
      <c r="H98" s="940">
        <v>2740.24</v>
      </c>
      <c r="I98" s="792">
        <f t="shared" ref="I98:I106" si="18">H98-F98</f>
        <v>0</v>
      </c>
      <c r="J98" s="735"/>
      <c r="K98" s="596"/>
      <c r="L98" s="623"/>
      <c r="M98" s="596"/>
      <c r="N98" s="596"/>
      <c r="O98" s="865" t="s">
        <v>324</v>
      </c>
      <c r="P98" s="850"/>
      <c r="Q98" s="596">
        <v>279503.96999999997</v>
      </c>
      <c r="R98" s="763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2" t="s">
        <v>266</v>
      </c>
      <c r="C99" s="822" t="s">
        <v>283</v>
      </c>
      <c r="D99" s="822"/>
      <c r="E99" s="844">
        <v>44537</v>
      </c>
      <c r="F99" s="940">
        <v>18003</v>
      </c>
      <c r="G99" s="822">
        <v>709</v>
      </c>
      <c r="H99" s="940">
        <v>18003</v>
      </c>
      <c r="I99" s="792">
        <f t="shared" si="18"/>
        <v>0</v>
      </c>
      <c r="J99" s="1028" t="s">
        <v>298</v>
      </c>
      <c r="K99" s="596">
        <v>11963</v>
      </c>
      <c r="L99" s="623" t="s">
        <v>301</v>
      </c>
      <c r="M99" s="596">
        <v>30160</v>
      </c>
      <c r="N99" s="931" t="s">
        <v>302</v>
      </c>
      <c r="O99" s="865">
        <v>90961</v>
      </c>
      <c r="P99" s="1262">
        <v>6960</v>
      </c>
      <c r="Q99" s="596">
        <f>52787.7*21.22</f>
        <v>1120154.9939999999</v>
      </c>
      <c r="R99" s="763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26" t="s">
        <v>284</v>
      </c>
      <c r="C100" s="822" t="s">
        <v>285</v>
      </c>
      <c r="D100" s="822"/>
      <c r="E100" s="844">
        <v>44537</v>
      </c>
      <c r="F100" s="940">
        <v>384.1</v>
      </c>
      <c r="G100" s="822">
        <v>10</v>
      </c>
      <c r="H100" s="940">
        <v>384.1</v>
      </c>
      <c r="I100" s="792">
        <f t="shared" si="18"/>
        <v>0</v>
      </c>
      <c r="J100" s="735"/>
      <c r="K100" s="596"/>
      <c r="L100" s="623"/>
      <c r="M100" s="596"/>
      <c r="N100" s="596"/>
      <c r="O100" s="865">
        <v>3742</v>
      </c>
      <c r="P100" s="851"/>
      <c r="Q100" s="596">
        <v>57615.3</v>
      </c>
      <c r="R100" s="763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27" t="s">
        <v>290</v>
      </c>
      <c r="C101" s="566" t="s">
        <v>291</v>
      </c>
      <c r="D101" s="566"/>
      <c r="E101" s="864">
        <v>44541</v>
      </c>
      <c r="F101" s="941">
        <v>18701.099999999999</v>
      </c>
      <c r="G101" s="845">
        <v>24</v>
      </c>
      <c r="H101" s="940">
        <v>18480</v>
      </c>
      <c r="I101" s="792">
        <f>H101-F101</f>
        <v>-221.09999999999854</v>
      </c>
      <c r="J101" s="1050" t="s">
        <v>294</v>
      </c>
      <c r="K101" s="596"/>
      <c r="L101" s="623"/>
      <c r="M101" s="596"/>
      <c r="N101" s="596"/>
      <c r="O101" s="865">
        <v>31531</v>
      </c>
      <c r="P101" s="851"/>
      <c r="Q101" s="596">
        <v>1003457.4</v>
      </c>
      <c r="R101" s="1051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42" t="s">
        <v>314</v>
      </c>
      <c r="C102" s="566" t="s">
        <v>45</v>
      </c>
      <c r="D102" s="566"/>
      <c r="E102" s="1145">
        <v>44543</v>
      </c>
      <c r="F102" s="941">
        <v>2002.14</v>
      </c>
      <c r="G102" s="566">
        <v>441</v>
      </c>
      <c r="H102" s="941">
        <v>2002.14</v>
      </c>
      <c r="I102" s="792">
        <f t="shared" si="18"/>
        <v>0</v>
      </c>
      <c r="J102" s="735"/>
      <c r="K102" s="596"/>
      <c r="L102" s="623"/>
      <c r="M102" s="596"/>
      <c r="N102" s="596"/>
      <c r="O102" s="1154" t="s">
        <v>315</v>
      </c>
      <c r="P102" s="851"/>
      <c r="Q102" s="1039">
        <v>110117.7</v>
      </c>
      <c r="R102" s="1174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43"/>
      <c r="C103" s="566" t="s">
        <v>316</v>
      </c>
      <c r="D103" s="566"/>
      <c r="E103" s="1146"/>
      <c r="F103" s="941">
        <v>500</v>
      </c>
      <c r="G103" s="566">
        <v>50</v>
      </c>
      <c r="H103" s="941">
        <v>500</v>
      </c>
      <c r="I103" s="792">
        <f t="shared" si="18"/>
        <v>0</v>
      </c>
      <c r="J103" s="735"/>
      <c r="K103" s="596"/>
      <c r="L103" s="801"/>
      <c r="M103" s="596"/>
      <c r="N103" s="931"/>
      <c r="O103" s="1155"/>
      <c r="P103" s="596"/>
      <c r="Q103" s="1039">
        <v>50000</v>
      </c>
      <c r="R103" s="1175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44"/>
      <c r="C104" s="566" t="s">
        <v>317</v>
      </c>
      <c r="D104" s="566"/>
      <c r="E104" s="1147"/>
      <c r="F104" s="941">
        <v>250</v>
      </c>
      <c r="G104" s="566">
        <v>25</v>
      </c>
      <c r="H104" s="941">
        <v>250</v>
      </c>
      <c r="I104" s="929">
        <f t="shared" si="18"/>
        <v>0</v>
      </c>
      <c r="J104" s="735"/>
      <c r="K104" s="596"/>
      <c r="L104" s="623"/>
      <c r="M104" s="596"/>
      <c r="N104" s="596"/>
      <c r="O104" s="1155"/>
      <c r="P104" s="596"/>
      <c r="Q104" s="1039">
        <v>22000</v>
      </c>
      <c r="R104" s="1176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60" t="s">
        <v>358</v>
      </c>
      <c r="C105" s="566" t="s">
        <v>337</v>
      </c>
      <c r="D105" s="566"/>
      <c r="E105" s="1145">
        <v>44547</v>
      </c>
      <c r="F105" s="941">
        <v>577.95000000000005</v>
      </c>
      <c r="G105" s="566">
        <v>20</v>
      </c>
      <c r="H105" s="941">
        <v>577.95000000000005</v>
      </c>
      <c r="I105" s="288">
        <f t="shared" si="18"/>
        <v>0</v>
      </c>
      <c r="J105" s="735"/>
      <c r="K105" s="596"/>
      <c r="L105" s="623"/>
      <c r="M105" s="596"/>
      <c r="N105" s="1039"/>
      <c r="O105" s="1163">
        <v>17301</v>
      </c>
      <c r="P105" s="1040"/>
      <c r="Q105" s="1039">
        <v>42190.35</v>
      </c>
      <c r="R105" s="1171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61"/>
      <c r="C106" s="897" t="s">
        <v>359</v>
      </c>
      <c r="D106" s="566"/>
      <c r="E106" s="1146"/>
      <c r="F106" s="941">
        <v>995.62</v>
      </c>
      <c r="G106" s="566">
        <v>40</v>
      </c>
      <c r="H106" s="941">
        <v>995.62</v>
      </c>
      <c r="I106" s="288">
        <f t="shared" si="18"/>
        <v>0</v>
      </c>
      <c r="J106" s="735"/>
      <c r="K106" s="596"/>
      <c r="L106" s="623"/>
      <c r="M106" s="596"/>
      <c r="N106" s="1039"/>
      <c r="O106" s="1164"/>
      <c r="P106" s="1040"/>
      <c r="Q106" s="1039">
        <v>46794.14</v>
      </c>
      <c r="R106" s="1172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62"/>
      <c r="C107" s="566" t="s">
        <v>73</v>
      </c>
      <c r="D107" s="566"/>
      <c r="E107" s="1147"/>
      <c r="F107" s="941">
        <v>499.6</v>
      </c>
      <c r="G107" s="566">
        <v>19</v>
      </c>
      <c r="H107" s="941">
        <v>499.6</v>
      </c>
      <c r="I107" s="288">
        <f t="shared" ref="I107:I109" si="20">H107-F107</f>
        <v>0</v>
      </c>
      <c r="J107" s="735"/>
      <c r="K107" s="596"/>
      <c r="L107" s="623"/>
      <c r="M107" s="596"/>
      <c r="N107" s="1039"/>
      <c r="O107" s="1165"/>
      <c r="P107" s="1041"/>
      <c r="Q107" s="1039">
        <v>26978.400000000001</v>
      </c>
      <c r="R107" s="1173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4">
        <v>44548</v>
      </c>
      <c r="F108" s="941">
        <v>100</v>
      </c>
      <c r="G108" s="822">
        <v>100</v>
      </c>
      <c r="H108" s="940">
        <v>100</v>
      </c>
      <c r="I108" s="468">
        <f t="shared" si="20"/>
        <v>0</v>
      </c>
      <c r="J108" s="736"/>
      <c r="K108" s="596"/>
      <c r="L108" s="623"/>
      <c r="M108" s="596"/>
      <c r="N108" s="596"/>
      <c r="O108" s="936" t="s">
        <v>362</v>
      </c>
      <c r="P108" s="808"/>
      <c r="Q108" s="596">
        <v>14000</v>
      </c>
      <c r="R108" s="968" t="s">
        <v>410</v>
      </c>
      <c r="S108" s="828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4" t="s">
        <v>366</v>
      </c>
      <c r="C109" s="1098" t="s">
        <v>367</v>
      </c>
      <c r="D109" s="566"/>
      <c r="E109" s="864">
        <v>44551</v>
      </c>
      <c r="F109" s="941">
        <v>990</v>
      </c>
      <c r="G109" s="822">
        <v>66</v>
      </c>
      <c r="H109" s="940">
        <v>990</v>
      </c>
      <c r="I109" s="468">
        <f t="shared" si="20"/>
        <v>0</v>
      </c>
      <c r="J109" s="736"/>
      <c r="K109" s="596"/>
      <c r="L109" s="623"/>
      <c r="M109" s="596"/>
      <c r="N109" s="596"/>
      <c r="O109" s="809" t="s">
        <v>432</v>
      </c>
      <c r="P109" s="1064" t="s">
        <v>380</v>
      </c>
      <c r="Q109" s="596">
        <v>78210</v>
      </c>
      <c r="R109" s="595" t="s">
        <v>433</v>
      </c>
      <c r="S109" s="828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2" t="s">
        <v>372</v>
      </c>
      <c r="C110" s="566" t="s">
        <v>73</v>
      </c>
      <c r="D110" s="566"/>
      <c r="E110" s="864">
        <v>44553</v>
      </c>
      <c r="F110" s="941">
        <v>2984.3</v>
      </c>
      <c r="G110" s="822">
        <v>105</v>
      </c>
      <c r="H110" s="940">
        <v>2984.3</v>
      </c>
      <c r="I110" s="107">
        <f t="shared" ref="I110:I183" si="21">H110-F110</f>
        <v>0</v>
      </c>
      <c r="J110" s="735"/>
      <c r="K110" s="596"/>
      <c r="L110" s="969"/>
      <c r="M110" s="892"/>
      <c r="N110" s="892"/>
      <c r="O110" s="1063">
        <v>17329</v>
      </c>
      <c r="P110" s="970"/>
      <c r="Q110" s="892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2" t="s">
        <v>97</v>
      </c>
      <c r="C111" s="566" t="s">
        <v>98</v>
      </c>
      <c r="D111" s="566"/>
      <c r="E111" s="864">
        <v>44554</v>
      </c>
      <c r="F111" s="941">
        <v>496.89</v>
      </c>
      <c r="G111" s="822">
        <v>41</v>
      </c>
      <c r="H111" s="940">
        <v>496.89</v>
      </c>
      <c r="I111" s="107">
        <f t="shared" si="21"/>
        <v>0</v>
      </c>
      <c r="J111" s="735"/>
      <c r="K111" s="596"/>
      <c r="L111" s="623"/>
      <c r="M111" s="596"/>
      <c r="N111" s="596"/>
      <c r="O111" s="807" t="s">
        <v>377</v>
      </c>
      <c r="P111" s="808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2" t="s">
        <v>403</v>
      </c>
      <c r="C112" s="822" t="s">
        <v>167</v>
      </c>
      <c r="D112" s="566"/>
      <c r="E112" s="1055">
        <v>44557</v>
      </c>
      <c r="F112" s="941">
        <v>7800</v>
      </c>
      <c r="G112" s="822">
        <v>660</v>
      </c>
      <c r="H112" s="940">
        <v>7800</v>
      </c>
      <c r="I112" s="107">
        <f t="shared" si="21"/>
        <v>0</v>
      </c>
      <c r="J112" s="735"/>
      <c r="K112" s="596"/>
      <c r="L112" s="623"/>
      <c r="M112" s="596"/>
      <c r="N112" s="596"/>
      <c r="O112" s="1129" t="s">
        <v>434</v>
      </c>
      <c r="P112" s="1064" t="s">
        <v>380</v>
      </c>
      <c r="Q112" s="596">
        <v>312000</v>
      </c>
      <c r="R112" s="890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38" t="s">
        <v>420</v>
      </c>
      <c r="C113" s="566" t="s">
        <v>421</v>
      </c>
      <c r="D113" s="1052"/>
      <c r="E113" s="1157">
        <v>44559</v>
      </c>
      <c r="F113" s="1054">
        <v>1996.98</v>
      </c>
      <c r="G113" s="822">
        <v>95</v>
      </c>
      <c r="H113" s="940">
        <v>1996.98</v>
      </c>
      <c r="I113" s="107">
        <f t="shared" si="21"/>
        <v>0</v>
      </c>
      <c r="J113" s="737"/>
      <c r="K113" s="596"/>
      <c r="L113" s="623"/>
      <c r="M113" s="596"/>
      <c r="N113" s="1125"/>
      <c r="O113" s="1163">
        <v>17377</v>
      </c>
      <c r="P113" s="1126"/>
      <c r="Q113" s="1039">
        <v>101845.98</v>
      </c>
      <c r="R113" s="1168" t="s">
        <v>691</v>
      </c>
      <c r="S113" s="66">
        <f t="shared" si="15"/>
        <v>101845.98</v>
      </c>
      <c r="T113" s="66">
        <f t="shared" si="22"/>
        <v>51</v>
      </c>
    </row>
    <row r="114" spans="1:20" s="163" customFormat="1" ht="18.75" customHeight="1" x14ac:dyDescent="0.25">
      <c r="A114" s="101">
        <v>77</v>
      </c>
      <c r="B114" s="1156"/>
      <c r="C114" s="566" t="s">
        <v>414</v>
      </c>
      <c r="D114" s="1053"/>
      <c r="E114" s="1158"/>
      <c r="F114" s="1054">
        <v>2513.52</v>
      </c>
      <c r="G114" s="822">
        <v>95</v>
      </c>
      <c r="H114" s="940">
        <v>2513.52</v>
      </c>
      <c r="I114" s="107">
        <f t="shared" si="21"/>
        <v>0</v>
      </c>
      <c r="J114" s="737"/>
      <c r="K114" s="596"/>
      <c r="L114" s="623"/>
      <c r="M114" s="596"/>
      <c r="N114" s="1125"/>
      <c r="O114" s="1164"/>
      <c r="P114" s="1127"/>
      <c r="Q114" s="1039">
        <v>133216.56</v>
      </c>
      <c r="R114" s="1169"/>
      <c r="S114" s="66">
        <f t="shared" si="15"/>
        <v>133216.56</v>
      </c>
      <c r="T114" s="66">
        <f t="shared" si="22"/>
        <v>53</v>
      </c>
    </row>
    <row r="115" spans="1:20" s="163" customFormat="1" ht="19.5" customHeight="1" thickBot="1" x14ac:dyDescent="0.3">
      <c r="A115" s="101">
        <v>78</v>
      </c>
      <c r="B115" s="1139"/>
      <c r="C115" s="566" t="s">
        <v>73</v>
      </c>
      <c r="D115" s="1052"/>
      <c r="E115" s="1159"/>
      <c r="F115" s="1054">
        <v>615.30999999999995</v>
      </c>
      <c r="G115" s="854">
        <v>21</v>
      </c>
      <c r="H115" s="940">
        <v>615.30999999999995</v>
      </c>
      <c r="I115" s="107">
        <f t="shared" si="21"/>
        <v>0</v>
      </c>
      <c r="J115" s="737"/>
      <c r="K115" s="596"/>
      <c r="L115" s="623"/>
      <c r="M115" s="596"/>
      <c r="N115" s="1125"/>
      <c r="O115" s="1165"/>
      <c r="P115" s="1128"/>
      <c r="Q115" s="1039">
        <v>33226.74</v>
      </c>
      <c r="R115" s="1170"/>
      <c r="S115" s="66">
        <f t="shared" si="15"/>
        <v>33226.74</v>
      </c>
      <c r="T115" s="66">
        <f t="shared" si="22"/>
        <v>54</v>
      </c>
    </row>
    <row r="116" spans="1:20" s="163" customFormat="1" ht="18.75" customHeight="1" x14ac:dyDescent="0.25">
      <c r="A116" s="101">
        <v>79</v>
      </c>
      <c r="B116" s="1138" t="s">
        <v>422</v>
      </c>
      <c r="C116" s="566" t="s">
        <v>423</v>
      </c>
      <c r="D116" s="566"/>
      <c r="E116" s="1056">
        <v>44560</v>
      </c>
      <c r="F116" s="941">
        <v>573.66</v>
      </c>
      <c r="G116" s="854">
        <v>50</v>
      </c>
      <c r="H116" s="940">
        <v>573.66</v>
      </c>
      <c r="I116" s="107">
        <f t="shared" si="21"/>
        <v>0</v>
      </c>
      <c r="J116" s="737"/>
      <c r="K116" s="596"/>
      <c r="L116" s="623"/>
      <c r="M116" s="596"/>
      <c r="N116" s="623"/>
      <c r="O116" s="1140" t="s">
        <v>424</v>
      </c>
      <c r="P116" s="597"/>
      <c r="Q116" s="596">
        <v>48187.44</v>
      </c>
      <c r="R116" s="1166" t="s">
        <v>690</v>
      </c>
      <c r="S116" s="66">
        <f t="shared" si="15"/>
        <v>48187.44</v>
      </c>
      <c r="T116" s="66">
        <f t="shared" si="22"/>
        <v>84.000000000000014</v>
      </c>
    </row>
    <row r="117" spans="1:20" s="163" customFormat="1" ht="18.75" customHeight="1" x14ac:dyDescent="0.25">
      <c r="A117" s="101">
        <v>80</v>
      </c>
      <c r="B117" s="1139"/>
      <c r="C117" s="566" t="s">
        <v>98</v>
      </c>
      <c r="D117" s="566"/>
      <c r="E117" s="864">
        <v>44560</v>
      </c>
      <c r="F117" s="941">
        <v>505.06</v>
      </c>
      <c r="G117" s="854">
        <v>42</v>
      </c>
      <c r="H117" s="940">
        <v>505.06</v>
      </c>
      <c r="I117" s="107">
        <f t="shared" si="21"/>
        <v>0</v>
      </c>
      <c r="J117" s="737"/>
      <c r="K117" s="596"/>
      <c r="L117" s="623"/>
      <c r="M117" s="596"/>
      <c r="N117" s="623"/>
      <c r="O117" s="1141"/>
      <c r="P117" s="597"/>
      <c r="Q117" s="596">
        <v>46465.52</v>
      </c>
      <c r="R117" s="1167"/>
      <c r="S117" s="66">
        <f t="shared" ref="S117:S122" si="23">Q117+M117+K117</f>
        <v>46465.52</v>
      </c>
      <c r="T117" s="66">
        <f t="shared" ref="T117:T122" si="24">S117/H117</f>
        <v>92</v>
      </c>
    </row>
    <row r="118" spans="1:20" s="163" customFormat="1" ht="18.75" customHeight="1" x14ac:dyDescent="0.25">
      <c r="A118" s="101">
        <v>81</v>
      </c>
      <c r="B118" s="822"/>
      <c r="C118" s="566"/>
      <c r="D118" s="566"/>
      <c r="E118" s="864"/>
      <c r="F118" s="941"/>
      <c r="G118" s="822"/>
      <c r="H118" s="940"/>
      <c r="I118" s="107">
        <f t="shared" si="21"/>
        <v>0</v>
      </c>
      <c r="J118" s="737"/>
      <c r="K118" s="596"/>
      <c r="L118" s="623"/>
      <c r="M118" s="596"/>
      <c r="N118" s="623"/>
      <c r="O118" s="807"/>
      <c r="P118" s="597"/>
      <c r="Q118" s="596"/>
      <c r="R118" s="595"/>
      <c r="S118" s="66">
        <f t="shared" si="23"/>
        <v>0</v>
      </c>
      <c r="T118" s="66" t="e">
        <f t="shared" si="24"/>
        <v>#DIV/0!</v>
      </c>
    </row>
    <row r="119" spans="1:20" s="163" customFormat="1" ht="18.75" customHeight="1" x14ac:dyDescent="0.25">
      <c r="A119" s="101">
        <v>82</v>
      </c>
      <c r="B119" s="822"/>
      <c r="C119" s="566"/>
      <c r="D119" s="566"/>
      <c r="E119" s="864"/>
      <c r="F119" s="941"/>
      <c r="G119" s="822"/>
      <c r="H119" s="940"/>
      <c r="I119" s="107">
        <f t="shared" si="21"/>
        <v>0</v>
      </c>
      <c r="J119" s="737"/>
      <c r="K119" s="596"/>
      <c r="L119" s="623"/>
      <c r="M119" s="596"/>
      <c r="N119" s="623"/>
      <c r="O119" s="807"/>
      <c r="P119" s="597"/>
      <c r="Q119" s="596"/>
      <c r="R119" s="595"/>
      <c r="S119" s="66">
        <f t="shared" si="23"/>
        <v>0</v>
      </c>
      <c r="T119" s="66" t="e">
        <f t="shared" si="24"/>
        <v>#DIV/0!</v>
      </c>
    </row>
    <row r="120" spans="1:20" s="163" customFormat="1" ht="18.75" x14ac:dyDescent="0.25">
      <c r="A120" s="101">
        <v>83</v>
      </c>
      <c r="B120" s="822"/>
      <c r="C120" s="566"/>
      <c r="D120" s="566"/>
      <c r="E120" s="864"/>
      <c r="F120" s="941"/>
      <c r="G120" s="822"/>
      <c r="H120" s="940"/>
      <c r="I120" s="107">
        <f t="shared" si="21"/>
        <v>0</v>
      </c>
      <c r="J120" s="737"/>
      <c r="K120" s="596"/>
      <c r="L120" s="623"/>
      <c r="M120" s="596"/>
      <c r="N120" s="623"/>
      <c r="O120" s="809"/>
      <c r="P120" s="808"/>
      <c r="Q120" s="596"/>
      <c r="R120" s="595"/>
      <c r="S120" s="66">
        <f t="shared" si="23"/>
        <v>0</v>
      </c>
      <c r="T120" s="66" t="e">
        <f t="shared" si="24"/>
        <v>#DIV/0!</v>
      </c>
    </row>
    <row r="121" spans="1:20" s="163" customFormat="1" ht="18.75" x14ac:dyDescent="0.25">
      <c r="A121" s="101">
        <v>84</v>
      </c>
      <c r="B121" s="822"/>
      <c r="C121" s="566"/>
      <c r="D121" s="566"/>
      <c r="E121" s="864"/>
      <c r="F121" s="941"/>
      <c r="G121" s="822"/>
      <c r="H121" s="940"/>
      <c r="I121" s="107">
        <f t="shared" si="21"/>
        <v>0</v>
      </c>
      <c r="J121" s="737"/>
      <c r="K121" s="596"/>
      <c r="L121" s="623"/>
      <c r="M121" s="596"/>
      <c r="N121" s="623"/>
      <c r="O121" s="809"/>
      <c r="P121" s="966"/>
      <c r="Q121" s="596"/>
      <c r="R121" s="967"/>
      <c r="S121" s="66">
        <f t="shared" si="23"/>
        <v>0</v>
      </c>
      <c r="T121" s="66" t="e">
        <f t="shared" si="24"/>
        <v>#DIV/0!</v>
      </c>
    </row>
    <row r="122" spans="1:20" s="163" customFormat="1" ht="18.75" x14ac:dyDescent="0.25">
      <c r="A122" s="101">
        <v>85</v>
      </c>
      <c r="B122" s="822"/>
      <c r="C122" s="948"/>
      <c r="D122" s="566"/>
      <c r="E122" s="864"/>
      <c r="F122" s="941"/>
      <c r="G122" s="822"/>
      <c r="H122" s="940"/>
      <c r="I122" s="107">
        <f t="shared" si="21"/>
        <v>0</v>
      </c>
      <c r="J122" s="737"/>
      <c r="K122" s="596"/>
      <c r="L122" s="623"/>
      <c r="M122" s="596"/>
      <c r="N122" s="623"/>
      <c r="O122" s="807"/>
      <c r="P122" s="808"/>
      <c r="Q122" s="596"/>
      <c r="R122" s="595"/>
      <c r="S122" s="66">
        <f t="shared" si="23"/>
        <v>0</v>
      </c>
      <c r="T122" s="66" t="e">
        <f t="shared" si="24"/>
        <v>#DIV/0!</v>
      </c>
    </row>
    <row r="123" spans="1:20" s="163" customFormat="1" ht="18.75" customHeight="1" x14ac:dyDescent="0.25">
      <c r="A123" s="101">
        <v>86</v>
      </c>
      <c r="B123" s="822"/>
      <c r="C123" s="822"/>
      <c r="D123" s="822"/>
      <c r="E123" s="864"/>
      <c r="F123" s="940"/>
      <c r="G123" s="822"/>
      <c r="H123" s="940"/>
      <c r="I123" s="107">
        <f t="shared" si="21"/>
        <v>0</v>
      </c>
      <c r="J123" s="737"/>
      <c r="K123" s="596"/>
      <c r="L123" s="623"/>
      <c r="M123" s="596"/>
      <c r="N123" s="623"/>
      <c r="O123" s="807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2"/>
      <c r="C124" s="566"/>
      <c r="D124" s="822"/>
      <c r="E124" s="864"/>
      <c r="F124" s="940"/>
      <c r="G124" s="822"/>
      <c r="H124" s="940"/>
      <c r="I124" s="107">
        <f t="shared" si="21"/>
        <v>0</v>
      </c>
      <c r="J124" s="737"/>
      <c r="K124" s="596"/>
      <c r="L124" s="623"/>
      <c r="M124" s="596"/>
      <c r="N124" s="623"/>
      <c r="O124" s="807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2"/>
      <c r="C125" s="822"/>
      <c r="D125" s="822"/>
      <c r="E125" s="844"/>
      <c r="F125" s="940"/>
      <c r="G125" s="822"/>
      <c r="H125" s="940"/>
      <c r="I125" s="107">
        <f t="shared" si="21"/>
        <v>0</v>
      </c>
      <c r="J125" s="737"/>
      <c r="K125" s="596"/>
      <c r="L125" s="623"/>
      <c r="M125" s="596"/>
      <c r="N125" s="971"/>
      <c r="O125" s="807"/>
      <c r="P125" s="597"/>
      <c r="Q125" s="596"/>
      <c r="R125" s="974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2"/>
      <c r="C126" s="822"/>
      <c r="D126" s="822"/>
      <c r="E126" s="844"/>
      <c r="F126" s="940"/>
      <c r="G126" s="822"/>
      <c r="H126" s="940"/>
      <c r="I126" s="107">
        <f t="shared" si="21"/>
        <v>0</v>
      </c>
      <c r="J126" s="750"/>
      <c r="K126" s="596"/>
      <c r="L126" s="623"/>
      <c r="M126" s="596"/>
      <c r="N126" s="972"/>
      <c r="O126" s="807"/>
      <c r="P126" s="597"/>
      <c r="Q126" s="596"/>
      <c r="R126" s="974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2"/>
      <c r="C127" s="822"/>
      <c r="D127" s="822"/>
      <c r="E127" s="844"/>
      <c r="F127" s="940"/>
      <c r="G127" s="822"/>
      <c r="H127" s="940"/>
      <c r="I127" s="107">
        <f t="shared" si="21"/>
        <v>0</v>
      </c>
      <c r="J127" s="750"/>
      <c r="K127" s="596"/>
      <c r="L127" s="623"/>
      <c r="M127" s="596"/>
      <c r="N127" s="973"/>
      <c r="O127" s="807"/>
      <c r="P127" s="808"/>
      <c r="Q127" s="596"/>
      <c r="R127" s="974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2"/>
      <c r="C128" s="822"/>
      <c r="D128" s="822"/>
      <c r="E128" s="844"/>
      <c r="F128" s="940"/>
      <c r="G128" s="822"/>
      <c r="H128" s="940"/>
      <c r="I128" s="288">
        <f t="shared" si="21"/>
        <v>0</v>
      </c>
      <c r="J128" s="553"/>
      <c r="K128" s="596"/>
      <c r="L128" s="623"/>
      <c r="M128" s="596"/>
      <c r="N128" s="931"/>
      <c r="O128" s="949"/>
      <c r="P128" s="597"/>
      <c r="Q128" s="596"/>
      <c r="R128" s="967"/>
      <c r="S128" s="66">
        <f t="shared" si="15"/>
        <v>0</v>
      </c>
      <c r="T128" s="66" t="e">
        <f t="shared" ref="T128:T134" si="25">S128/H128</f>
        <v>#DIV/0!</v>
      </c>
    </row>
    <row r="129" spans="1:20" s="163" customFormat="1" ht="18.75" hidden="1" x14ac:dyDescent="0.25">
      <c r="A129" s="101">
        <v>92</v>
      </c>
      <c r="B129" s="822"/>
      <c r="C129" s="822"/>
      <c r="D129" s="822"/>
      <c r="E129" s="844"/>
      <c r="F129" s="940"/>
      <c r="G129" s="822"/>
      <c r="H129" s="940"/>
      <c r="I129" s="288">
        <f t="shared" si="21"/>
        <v>0</v>
      </c>
      <c r="J129" s="553"/>
      <c r="K129" s="596"/>
      <c r="L129" s="623"/>
      <c r="M129" s="596"/>
      <c r="N129" s="800"/>
      <c r="O129" s="809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2"/>
      <c r="C130" s="822"/>
      <c r="D130" s="822"/>
      <c r="E130" s="844"/>
      <c r="F130" s="940"/>
      <c r="G130" s="822"/>
      <c r="H130" s="940"/>
      <c r="I130" s="288">
        <f t="shared" si="21"/>
        <v>0</v>
      </c>
      <c r="J130" s="553"/>
      <c r="K130" s="596"/>
      <c r="L130" s="623"/>
      <c r="M130" s="892"/>
      <c r="N130" s="930"/>
      <c r="O130" s="809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2"/>
      <c r="C131" s="822"/>
      <c r="D131" s="822"/>
      <c r="E131" s="844"/>
      <c r="F131" s="940"/>
      <c r="G131" s="822"/>
      <c r="H131" s="940"/>
      <c r="I131" s="288">
        <f t="shared" si="21"/>
        <v>0</v>
      </c>
      <c r="J131" s="553"/>
      <c r="K131" s="596"/>
      <c r="L131" s="623"/>
      <c r="M131" s="596"/>
      <c r="N131" s="931"/>
      <c r="O131" s="807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2"/>
      <c r="C132" s="897"/>
      <c r="D132" s="822"/>
      <c r="E132" s="844"/>
      <c r="F132" s="940"/>
      <c r="G132" s="822"/>
      <c r="H132" s="940"/>
      <c r="I132" s="288">
        <f t="shared" si="21"/>
        <v>0</v>
      </c>
      <c r="J132" s="553"/>
      <c r="K132" s="596"/>
      <c r="L132" s="623"/>
      <c r="M132" s="596"/>
      <c r="N132" s="931"/>
      <c r="O132" s="807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2"/>
      <c r="C133" s="822"/>
      <c r="D133" s="822"/>
      <c r="E133" s="844"/>
      <c r="F133" s="940"/>
      <c r="G133" s="822"/>
      <c r="H133" s="940"/>
      <c r="I133" s="288">
        <f t="shared" si="21"/>
        <v>0</v>
      </c>
      <c r="J133" s="735"/>
      <c r="K133" s="596"/>
      <c r="L133" s="623"/>
      <c r="M133" s="596"/>
      <c r="N133" s="596"/>
      <c r="O133" s="807"/>
      <c r="P133" s="596"/>
      <c r="Q133" s="596"/>
      <c r="R133" s="595"/>
      <c r="S133" s="66">
        <f t="shared" si="15"/>
        <v>0</v>
      </c>
      <c r="T133" s="66" t="e">
        <f t="shared" si="25"/>
        <v>#DIV/0!</v>
      </c>
    </row>
    <row r="134" spans="1:20" s="163" customFormat="1" ht="15.75" hidden="1" customHeight="1" x14ac:dyDescent="0.25">
      <c r="A134" s="101">
        <v>94</v>
      </c>
      <c r="B134" s="822"/>
      <c r="C134" s="899"/>
      <c r="D134" s="822"/>
      <c r="E134" s="844"/>
      <c r="F134" s="940"/>
      <c r="G134" s="822"/>
      <c r="H134" s="940"/>
      <c r="I134" s="107">
        <f t="shared" si="21"/>
        <v>0</v>
      </c>
      <c r="J134" s="735"/>
      <c r="K134" s="596"/>
      <c r="L134" s="623"/>
      <c r="M134" s="596"/>
      <c r="N134" s="596"/>
      <c r="O134" s="807"/>
      <c r="P134" s="596"/>
      <c r="Q134" s="596"/>
      <c r="R134" s="763"/>
      <c r="S134" s="66">
        <f t="shared" si="15"/>
        <v>0</v>
      </c>
      <c r="T134" s="66" t="e">
        <f t="shared" si="25"/>
        <v>#DIV/0!</v>
      </c>
    </row>
    <row r="135" spans="1:20" s="163" customFormat="1" ht="15.75" hidden="1" x14ac:dyDescent="0.25">
      <c r="A135" s="101">
        <v>95</v>
      </c>
      <c r="B135" s="822"/>
      <c r="C135" s="822"/>
      <c r="D135" s="822"/>
      <c r="E135" s="844"/>
      <c r="F135" s="940"/>
      <c r="G135" s="822"/>
      <c r="H135" s="940"/>
      <c r="I135" s="107">
        <f t="shared" si="21"/>
        <v>0</v>
      </c>
      <c r="J135" s="553"/>
      <c r="K135" s="596"/>
      <c r="L135" s="623"/>
      <c r="M135" s="596"/>
      <c r="N135" s="596"/>
      <c r="O135" s="932"/>
      <c r="P135" s="596"/>
      <c r="Q135" s="596"/>
      <c r="R135" s="890"/>
      <c r="S135" s="66">
        <f t="shared" si="15"/>
        <v>0</v>
      </c>
      <c r="T135" s="66" t="e">
        <f t="shared" ref="T135:T136" si="26">S135/H135</f>
        <v>#DIV/0!</v>
      </c>
    </row>
    <row r="136" spans="1:20" s="163" customFormat="1" ht="16.5" hidden="1" customHeight="1" x14ac:dyDescent="0.25">
      <c r="A136" s="101">
        <v>96</v>
      </c>
      <c r="B136" s="928"/>
      <c r="C136" s="887"/>
      <c r="D136" s="924"/>
      <c r="E136" s="925"/>
      <c r="F136" s="942"/>
      <c r="G136" s="926"/>
      <c r="H136" s="945"/>
      <c r="I136" s="107">
        <f t="shared" si="21"/>
        <v>0</v>
      </c>
      <c r="J136" s="566"/>
      <c r="K136" s="596"/>
      <c r="L136" s="623"/>
      <c r="M136" s="596"/>
      <c r="N136" s="596"/>
      <c r="O136" s="895"/>
      <c r="P136" s="596"/>
      <c r="Q136" s="894"/>
      <c r="R136" s="595"/>
      <c r="S136" s="66">
        <f t="shared" si="15"/>
        <v>0</v>
      </c>
      <c r="T136" s="66" t="e">
        <f t="shared" si="26"/>
        <v>#DIV/0!</v>
      </c>
    </row>
    <row r="137" spans="1:20" s="163" customFormat="1" ht="16.5" hidden="1" customHeight="1" x14ac:dyDescent="0.25">
      <c r="A137" s="101">
        <v>97</v>
      </c>
      <c r="B137" s="928"/>
      <c r="C137" s="887"/>
      <c r="D137" s="927"/>
      <c r="E137" s="925"/>
      <c r="F137" s="942"/>
      <c r="G137" s="926"/>
      <c r="H137" s="945"/>
      <c r="I137" s="107">
        <f t="shared" si="21"/>
        <v>0</v>
      </c>
      <c r="J137" s="566"/>
      <c r="K137" s="596"/>
      <c r="L137" s="623"/>
      <c r="M137" s="596"/>
      <c r="N137" s="596"/>
      <c r="O137" s="895"/>
      <c r="P137" s="596"/>
      <c r="Q137" s="894"/>
      <c r="R137" s="595"/>
      <c r="S137" s="66">
        <f t="shared" si="15"/>
        <v>0</v>
      </c>
      <c r="T137" s="66" t="e">
        <f t="shared" ref="T137" si="27">S137/H137</f>
        <v>#DIV/0!</v>
      </c>
    </row>
    <row r="138" spans="1:20" s="163" customFormat="1" ht="17.25" hidden="1" customHeight="1" x14ac:dyDescent="0.25">
      <c r="A138" s="101">
        <v>98</v>
      </c>
      <c r="B138" s="928"/>
      <c r="C138" s="887"/>
      <c r="D138" s="924"/>
      <c r="E138" s="925"/>
      <c r="F138" s="942"/>
      <c r="G138" s="926"/>
      <c r="H138" s="945"/>
      <c r="I138" s="288">
        <f t="shared" si="21"/>
        <v>0</v>
      </c>
      <c r="J138" s="738"/>
      <c r="K138" s="739"/>
      <c r="L138" s="599"/>
      <c r="M138" s="739"/>
      <c r="N138" s="607"/>
      <c r="O138" s="895"/>
      <c r="P138" s="785"/>
      <c r="Q138" s="894"/>
      <c r="R138" s="595"/>
      <c r="S138" s="66">
        <f t="shared" ref="S138:S143" si="28">Q138+M138+K138</f>
        <v>0</v>
      </c>
      <c r="T138" s="66" t="e">
        <f t="shared" ref="T138:T143" si="29">S138/H138</f>
        <v>#DIV/0!</v>
      </c>
    </row>
    <row r="139" spans="1:20" s="163" customFormat="1" ht="16.5" hidden="1" customHeight="1" x14ac:dyDescent="0.25">
      <c r="A139" s="101">
        <v>99</v>
      </c>
      <c r="B139" s="928"/>
      <c r="C139" s="887"/>
      <c r="D139" s="924"/>
      <c r="E139" s="925"/>
      <c r="F139" s="942"/>
      <c r="G139" s="926"/>
      <c r="H139" s="945"/>
      <c r="I139" s="288">
        <f t="shared" si="21"/>
        <v>0</v>
      </c>
      <c r="J139" s="738"/>
      <c r="K139" s="739"/>
      <c r="L139" s="599"/>
      <c r="M139" s="739"/>
      <c r="N139" s="607"/>
      <c r="O139" s="895"/>
      <c r="P139" s="830"/>
      <c r="Q139" s="894"/>
      <c r="R139" s="595"/>
      <c r="S139" s="66">
        <f t="shared" si="28"/>
        <v>0</v>
      </c>
      <c r="T139" s="66" t="e">
        <f t="shared" si="29"/>
        <v>#DIV/0!</v>
      </c>
    </row>
    <row r="140" spans="1:20" s="163" customFormat="1" ht="16.5" hidden="1" customHeight="1" x14ac:dyDescent="0.25">
      <c r="A140" s="101">
        <v>100</v>
      </c>
      <c r="B140" s="928"/>
      <c r="C140" s="888"/>
      <c r="D140" s="927"/>
      <c r="E140" s="925"/>
      <c r="F140" s="942"/>
      <c r="G140" s="926"/>
      <c r="H140" s="945"/>
      <c r="I140" s="288">
        <f t="shared" si="21"/>
        <v>0</v>
      </c>
      <c r="J140" s="738"/>
      <c r="K140" s="739"/>
      <c r="L140" s="599"/>
      <c r="M140" s="739"/>
      <c r="N140" s="607"/>
      <c r="O140" s="895"/>
      <c r="P140" s="785"/>
      <c r="Q140" s="894"/>
      <c r="R140" s="595"/>
      <c r="S140" s="66">
        <f t="shared" si="28"/>
        <v>0</v>
      </c>
      <c r="T140" s="66" t="e">
        <f t="shared" si="29"/>
        <v>#DIV/0!</v>
      </c>
    </row>
    <row r="141" spans="1:20" s="163" customFormat="1" ht="16.5" hidden="1" customHeight="1" x14ac:dyDescent="0.25">
      <c r="A141" s="101"/>
      <c r="B141" s="891"/>
      <c r="C141" s="888"/>
      <c r="D141" s="889"/>
      <c r="E141" s="901"/>
      <c r="F141" s="943"/>
      <c r="G141" s="486"/>
      <c r="H141" s="946"/>
      <c r="I141" s="288">
        <f t="shared" si="21"/>
        <v>0</v>
      </c>
      <c r="J141" s="738"/>
      <c r="K141" s="739"/>
      <c r="L141" s="599"/>
      <c r="M141" s="739"/>
      <c r="N141" s="607"/>
      <c r="O141" s="895"/>
      <c r="P141" s="785"/>
      <c r="Q141" s="894"/>
      <c r="R141" s="595"/>
      <c r="S141" s="66">
        <f t="shared" si="28"/>
        <v>0</v>
      </c>
      <c r="T141" s="66" t="e">
        <f t="shared" si="29"/>
        <v>#DIV/0!</v>
      </c>
    </row>
    <row r="142" spans="1:20" s="163" customFormat="1" hidden="1" x14ac:dyDescent="0.25">
      <c r="A142" s="101"/>
      <c r="B142" s="822"/>
      <c r="C142" s="553"/>
      <c r="D142" s="578"/>
      <c r="E142" s="902"/>
      <c r="F142" s="944"/>
      <c r="G142" s="580"/>
      <c r="H142" s="947"/>
      <c r="I142" s="288">
        <f t="shared" si="21"/>
        <v>0</v>
      </c>
      <c r="J142" s="738"/>
      <c r="K142" s="739"/>
      <c r="L142" s="599"/>
      <c r="M142" s="739"/>
      <c r="N142" s="816"/>
      <c r="O142" s="893"/>
      <c r="P142" s="831"/>
      <c r="Q142" s="832"/>
      <c r="R142" s="833"/>
      <c r="S142" s="66">
        <f t="shared" si="28"/>
        <v>0</v>
      </c>
      <c r="T142" s="66" t="e">
        <f t="shared" si="29"/>
        <v>#DIV/0!</v>
      </c>
    </row>
    <row r="143" spans="1:20" s="163" customFormat="1" hidden="1" x14ac:dyDescent="0.25">
      <c r="A143" s="101"/>
      <c r="B143" s="582"/>
      <c r="C143" s="583"/>
      <c r="D143" s="578"/>
      <c r="E143" s="902"/>
      <c r="F143" s="944"/>
      <c r="G143" s="580"/>
      <c r="H143" s="947"/>
      <c r="I143" s="288">
        <f t="shared" si="21"/>
        <v>0</v>
      </c>
      <c r="J143" s="269"/>
      <c r="K143" s="252"/>
      <c r="L143" s="307"/>
      <c r="M143" s="251"/>
      <c r="N143" s="567"/>
      <c r="O143" s="834"/>
      <c r="P143" s="785"/>
      <c r="Q143" s="739"/>
      <c r="R143" s="786"/>
      <c r="S143" s="66">
        <f t="shared" si="28"/>
        <v>0</v>
      </c>
      <c r="T143" s="66" t="e">
        <f t="shared" si="29"/>
        <v>#DIV/0!</v>
      </c>
    </row>
    <row r="144" spans="1:20" s="163" customFormat="1" hidden="1" x14ac:dyDescent="0.25">
      <c r="A144" s="101"/>
      <c r="B144" s="582"/>
      <c r="C144" s="583"/>
      <c r="D144" s="578"/>
      <c r="E144" s="902"/>
      <c r="F144" s="579"/>
      <c r="G144" s="580"/>
      <c r="H144" s="947"/>
      <c r="I144" s="288">
        <f t="shared" si="21"/>
        <v>0</v>
      </c>
      <c r="J144" s="269"/>
      <c r="K144" s="252"/>
      <c r="L144" s="307"/>
      <c r="M144" s="251"/>
      <c r="N144" s="567"/>
      <c r="O144" s="620"/>
      <c r="P144" s="831"/>
      <c r="Q144" s="832"/>
      <c r="R144" s="833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0"/>
      <c r="F145" s="579"/>
      <c r="G145" s="580"/>
      <c r="H145" s="947"/>
      <c r="I145" s="288">
        <f t="shared" si="21"/>
        <v>0</v>
      </c>
      <c r="J145" s="269"/>
      <c r="K145" s="252"/>
      <c r="L145" s="307"/>
      <c r="M145" s="251"/>
      <c r="N145" s="567"/>
      <c r="O145" s="620"/>
      <c r="P145" s="785"/>
      <c r="Q145" s="739"/>
      <c r="R145" s="786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0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0"/>
      <c r="P146" s="785"/>
      <c r="Q146" s="739"/>
      <c r="R146" s="786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0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0"/>
      <c r="P147" s="785"/>
      <c r="Q147" s="739"/>
      <c r="R147" s="786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0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0"/>
      <c r="P148" s="785"/>
      <c r="Q148" s="739"/>
      <c r="R148" s="786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0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0"/>
      <c r="P149" s="785"/>
      <c r="Q149" s="739"/>
      <c r="R149" s="786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0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0"/>
      <c r="P150" s="785"/>
      <c r="Q150" s="739"/>
      <c r="R150" s="786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0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0"/>
      <c r="P151" s="785"/>
      <c r="Q151" s="739"/>
      <c r="R151" s="786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0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0"/>
      <c r="P152" s="785"/>
      <c r="Q152" s="739"/>
      <c r="R152" s="786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0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0"/>
      <c r="P153" s="785"/>
      <c r="Q153" s="739"/>
      <c r="R153" s="786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0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0"/>
      <c r="P154" s="785"/>
      <c r="Q154" s="739"/>
      <c r="R154" s="786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0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0"/>
      <c r="P155" s="785"/>
      <c r="Q155" s="739"/>
      <c r="R155" s="786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0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0"/>
      <c r="P156" s="785"/>
      <c r="Q156" s="739"/>
      <c r="R156" s="786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0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0"/>
      <c r="P157" s="785"/>
      <c r="Q157" s="739"/>
      <c r="R157" s="786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57"/>
      <c r="F158" s="669"/>
      <c r="G158" s="670"/>
      <c r="H158" s="671"/>
      <c r="I158" s="288">
        <f t="shared" si="21"/>
        <v>0</v>
      </c>
      <c r="J158" s="269"/>
      <c r="K158" s="252"/>
      <c r="L158" s="307"/>
      <c r="M158" s="251"/>
      <c r="N158" s="567"/>
      <c r="O158" s="620"/>
      <c r="P158" s="785"/>
      <c r="Q158" s="739"/>
      <c r="R158" s="786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57"/>
      <c r="F159" s="669"/>
      <c r="G159" s="670"/>
      <c r="H159" s="671"/>
      <c r="I159" s="288">
        <f t="shared" si="21"/>
        <v>0</v>
      </c>
      <c r="J159" s="269"/>
      <c r="K159" s="252"/>
      <c r="L159" s="307"/>
      <c r="M159" s="251"/>
      <c r="N159" s="567"/>
      <c r="O159" s="620"/>
      <c r="P159" s="785"/>
      <c r="Q159" s="739"/>
      <c r="R159" s="786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57"/>
      <c r="F160" s="669"/>
      <c r="G160" s="670"/>
      <c r="H160" s="671"/>
      <c r="I160" s="288">
        <f t="shared" si="21"/>
        <v>0</v>
      </c>
      <c r="J160" s="269"/>
      <c r="K160" s="252"/>
      <c r="L160" s="307"/>
      <c r="M160" s="251"/>
      <c r="N160" s="567"/>
      <c r="O160" s="620"/>
      <c r="P160" s="785"/>
      <c r="Q160" s="739"/>
      <c r="R160" s="786"/>
      <c r="S160" s="66"/>
      <c r="T160" s="66"/>
    </row>
    <row r="161" spans="1:20" s="163" customFormat="1" hidden="1" x14ac:dyDescent="0.25">
      <c r="A161" s="101"/>
      <c r="B161" s="668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0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0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0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0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0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0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0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1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1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1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49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30">Q171+M171+K171</f>
        <v>0</v>
      </c>
      <c r="T171" s="66" t="e">
        <f t="shared" ref="T171:T179" si="31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49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30"/>
        <v>0</v>
      </c>
      <c r="T172" s="66" t="e">
        <f t="shared" si="31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49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30"/>
        <v>0</v>
      </c>
      <c r="T173" s="66" t="e">
        <f t="shared" si="31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49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30"/>
        <v>0</v>
      </c>
      <c r="T174" s="66" t="e">
        <f t="shared" si="31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49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30"/>
        <v>0</v>
      </c>
      <c r="T175" s="66" t="e">
        <f t="shared" si="31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49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30"/>
        <v>0</v>
      </c>
      <c r="T176" s="66" t="e">
        <f t="shared" si="31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49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2">Q177+M177+K177</f>
        <v>0</v>
      </c>
      <c r="T177" s="66" t="e">
        <f t="shared" si="31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49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2"/>
        <v>0</v>
      </c>
      <c r="T178" s="66" t="e">
        <f t="shared" si="31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49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2"/>
        <v>0</v>
      </c>
      <c r="T179" s="66" t="e">
        <f t="shared" si="31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49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2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49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2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49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2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1"/>
      <c r="F183" s="749"/>
      <c r="G183" s="101"/>
      <c r="H183" s="560"/>
      <c r="I183" s="107">
        <f t="shared" si="21"/>
        <v>0</v>
      </c>
      <c r="J183" s="133"/>
      <c r="K183" s="175"/>
      <c r="L183" s="681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5" t="s">
        <v>31</v>
      </c>
      <c r="G184" s="73">
        <f>SUM(G5:G183)</f>
        <v>3599</v>
      </c>
      <c r="H184" s="562">
        <f>SUM(H3:H183)</f>
        <v>777181.65</v>
      </c>
      <c r="I184" s="793">
        <f>PIERNA!I37</f>
        <v>-62.019999999996799</v>
      </c>
      <c r="J184" s="46"/>
      <c r="K184" s="177">
        <f>SUM(K5:K183)</f>
        <v>396615</v>
      </c>
      <c r="L184" s="682"/>
      <c r="M184" s="177">
        <f>SUM(M5:M183)</f>
        <v>1044000</v>
      </c>
      <c r="N184" s="483"/>
      <c r="O184" s="622"/>
      <c r="P184" s="120"/>
      <c r="Q184" s="178">
        <f>SUM(Q5:Q183)</f>
        <v>24506328.833259992</v>
      </c>
      <c r="R184" s="158"/>
      <c r="S184" s="188">
        <f>Q184+M184+K184</f>
        <v>25946943.833259992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3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8">
    <mergeCell ref="R116:R117"/>
    <mergeCell ref="O113:O115"/>
    <mergeCell ref="R113:R115"/>
    <mergeCell ref="R105:R107"/>
    <mergeCell ref="R102:R104"/>
    <mergeCell ref="B116:B117"/>
    <mergeCell ref="O116:O117"/>
    <mergeCell ref="B102:B104"/>
    <mergeCell ref="E102:E104"/>
    <mergeCell ref="Q1:Q2"/>
    <mergeCell ref="K1:K2"/>
    <mergeCell ref="M1:M2"/>
    <mergeCell ref="O102:O104"/>
    <mergeCell ref="B113:B115"/>
    <mergeCell ref="E113:E115"/>
    <mergeCell ref="B105:B107"/>
    <mergeCell ref="E105:E107"/>
    <mergeCell ref="O105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 t="s">
        <v>246</v>
      </c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203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203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4">
        <f>E5+E6-F8+E4</f>
        <v>0</v>
      </c>
      <c r="J8" s="787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3"/>
      <c r="H9" s="1094"/>
      <c r="I9" s="1114">
        <f>I8-F9</f>
        <v>0</v>
      </c>
      <c r="J9" s="1115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3"/>
      <c r="H10" s="1094"/>
      <c r="I10" s="1114">
        <f t="shared" ref="I10:I27" si="3">I9-F10</f>
        <v>0</v>
      </c>
      <c r="J10" s="1115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3"/>
      <c r="H11" s="1094"/>
      <c r="I11" s="1114">
        <f t="shared" si="3"/>
        <v>0</v>
      </c>
      <c r="J11" s="1115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3"/>
      <c r="H12" s="1094"/>
      <c r="I12" s="1114">
        <f t="shared" si="3"/>
        <v>0</v>
      </c>
      <c r="J12" s="1115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77" t="s">
        <v>21</v>
      </c>
      <c r="E31" s="1178"/>
      <c r="F31" s="147">
        <f>E4+E5-F29+E6</f>
        <v>0</v>
      </c>
    </row>
    <row r="32" spans="1:10" ht="15.75" thickBot="1" x14ac:dyDescent="0.3">
      <c r="A32" s="129"/>
      <c r="D32" s="639" t="s">
        <v>4</v>
      </c>
      <c r="E32" s="640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17"/>
    <col min="10" max="10" width="17.5703125" customWidth="1"/>
  </cols>
  <sheetData>
    <row r="1" spans="1:11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1" ht="16.5" thickBot="1" x14ac:dyDescent="0.3">
      <c r="K2" s="73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8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19">
        <f>E5+E6-F8+E4</f>
        <v>0</v>
      </c>
      <c r="J8" s="787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19">
        <f>I8-F9</f>
        <v>0</v>
      </c>
      <c r="J9" s="787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19">
        <f t="shared" ref="I10:I27" si="4">I9-F10</f>
        <v>0</v>
      </c>
      <c r="J10" s="787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19">
        <f t="shared" si="4"/>
        <v>0</v>
      </c>
      <c r="J11" s="787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19">
        <f t="shared" si="4"/>
        <v>0</v>
      </c>
      <c r="J12" s="787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19">
        <f t="shared" si="4"/>
        <v>0</v>
      </c>
      <c r="J13" s="787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19">
        <f t="shared" si="4"/>
        <v>0</v>
      </c>
      <c r="J14" s="787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19">
        <f t="shared" si="4"/>
        <v>0</v>
      </c>
      <c r="J15" s="787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0">
        <f t="shared" si="4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0">
        <f t="shared" si="4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0">
        <f t="shared" si="4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0">
        <f t="shared" si="4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0">
        <f t="shared" si="4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0">
        <f t="shared" si="4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0">
        <f t="shared" si="4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0">
        <f t="shared" si="4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0">
        <f t="shared" si="4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0">
        <f t="shared" si="4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0">
        <f t="shared" si="4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0">
        <f t="shared" si="4"/>
        <v>0</v>
      </c>
      <c r="J27" s="765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1"/>
      <c r="J28" s="770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77" t="s">
        <v>21</v>
      </c>
      <c r="E31" s="1178"/>
      <c r="F31" s="147">
        <f>E4+E5-F29+E6</f>
        <v>0</v>
      </c>
    </row>
    <row r="32" spans="1:10" ht="16.5" thickBot="1" x14ac:dyDescent="0.3">
      <c r="A32" s="129"/>
      <c r="D32" s="814" t="s">
        <v>4</v>
      </c>
      <c r="E32" s="815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 t="s">
        <v>246</v>
      </c>
      <c r="B1" s="1181"/>
      <c r="C1" s="1181"/>
      <c r="D1" s="1181"/>
      <c r="E1" s="1181"/>
      <c r="F1" s="1181"/>
      <c r="G1" s="1181"/>
      <c r="H1" s="378">
        <v>1</v>
      </c>
      <c r="I1" s="63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7"/>
    </row>
    <row r="3" spans="1:10" ht="16.5" thickTop="1" thickBot="1" x14ac:dyDescent="0.3">
      <c r="A3" s="73" t="s">
        <v>0</v>
      </c>
      <c r="B3" s="1035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2"/>
    </row>
    <row r="4" spans="1:10" ht="15.75" thickTop="1" x14ac:dyDescent="0.25">
      <c r="A4" s="76"/>
      <c r="B4" s="1204"/>
      <c r="C4" s="624"/>
      <c r="D4" s="261"/>
      <c r="E4" s="259"/>
      <c r="F4" s="256"/>
      <c r="G4" s="783"/>
      <c r="H4" s="159"/>
      <c r="I4" s="636"/>
    </row>
    <row r="5" spans="1:10" ht="28.5" customHeight="1" thickBot="1" x14ac:dyDescent="0.3">
      <c r="A5" s="780"/>
      <c r="B5" s="1205"/>
      <c r="C5" s="338"/>
      <c r="D5" s="261"/>
      <c r="E5" s="586"/>
      <c r="F5" s="256"/>
      <c r="G5" s="254">
        <f>F30</f>
        <v>0</v>
      </c>
      <c r="H5" s="144">
        <f>E5-G5</f>
        <v>0</v>
      </c>
      <c r="I5" s="633"/>
    </row>
    <row r="6" spans="1:10" ht="15.75" hidden="1" thickBot="1" x14ac:dyDescent="0.3">
      <c r="A6" s="263"/>
      <c r="B6" s="719"/>
      <c r="C6" s="627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6"/>
      <c r="C7" s="627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4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7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7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7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7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7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7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7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7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7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7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7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7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77" t="s">
        <v>21</v>
      </c>
      <c r="E32" s="1178"/>
      <c r="F32" s="147">
        <f>G5-F30</f>
        <v>0</v>
      </c>
    </row>
    <row r="33" spans="1:6" ht="15.75" thickBot="1" x14ac:dyDescent="0.3">
      <c r="A33" s="129"/>
      <c r="D33" s="781" t="s">
        <v>4</v>
      </c>
      <c r="E33" s="782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5" t="s">
        <v>246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68"/>
    </row>
    <row r="5" spans="1:9" ht="15.75" x14ac:dyDescent="0.25">
      <c r="A5" s="76" t="s">
        <v>100</v>
      </c>
      <c r="B5" s="951" t="s">
        <v>247</v>
      </c>
      <c r="C5" s="325">
        <v>260</v>
      </c>
      <c r="D5" s="261">
        <v>44533</v>
      </c>
      <c r="E5" s="911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2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89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89">
        <f>B8-C9</f>
        <v>15</v>
      </c>
      <c r="C9" s="256">
        <v>7</v>
      </c>
      <c r="D9" s="983">
        <v>31.78</v>
      </c>
      <c r="E9" s="991">
        <v>44543</v>
      </c>
      <c r="F9" s="992">
        <f t="shared" si="0"/>
        <v>31.78</v>
      </c>
      <c r="G9" s="687" t="s">
        <v>462</v>
      </c>
      <c r="H9" s="985">
        <v>265</v>
      </c>
      <c r="I9" s="275">
        <f>I8-F9</f>
        <v>68.099999999999994</v>
      </c>
    </row>
    <row r="10" spans="1:9" x14ac:dyDescent="0.25">
      <c r="B10" s="689">
        <f>B9-C10</f>
        <v>14</v>
      </c>
      <c r="C10" s="256">
        <v>1</v>
      </c>
      <c r="D10" s="983">
        <v>4.54</v>
      </c>
      <c r="E10" s="991">
        <v>44549</v>
      </c>
      <c r="F10" s="992">
        <f t="shared" si="0"/>
        <v>4.54</v>
      </c>
      <c r="G10" s="687" t="s">
        <v>554</v>
      </c>
      <c r="H10" s="985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89">
        <f t="shared" ref="B11:B13" si="2">B10-C11</f>
        <v>12</v>
      </c>
      <c r="C11" s="256">
        <v>2</v>
      </c>
      <c r="D11" s="983">
        <v>9.08</v>
      </c>
      <c r="E11" s="991">
        <v>44551</v>
      </c>
      <c r="F11" s="992">
        <f t="shared" si="0"/>
        <v>9.08</v>
      </c>
      <c r="G11" s="687" t="s">
        <v>563</v>
      </c>
      <c r="H11" s="985">
        <v>265</v>
      </c>
      <c r="I11" s="275">
        <f t="shared" si="1"/>
        <v>54.48</v>
      </c>
    </row>
    <row r="12" spans="1:9" x14ac:dyDescent="0.25">
      <c r="B12" s="689">
        <f t="shared" si="2"/>
        <v>12</v>
      </c>
      <c r="C12" s="256"/>
      <c r="D12" s="983"/>
      <c r="E12" s="991"/>
      <c r="F12" s="992">
        <f t="shared" si="0"/>
        <v>0</v>
      </c>
      <c r="G12" s="687"/>
      <c r="H12" s="985"/>
      <c r="I12" s="275">
        <f t="shared" si="1"/>
        <v>54.48</v>
      </c>
    </row>
    <row r="13" spans="1:9" x14ac:dyDescent="0.25">
      <c r="A13" s="19"/>
      <c r="B13" s="689">
        <f t="shared" si="2"/>
        <v>12</v>
      </c>
      <c r="C13" s="256"/>
      <c r="D13" s="983"/>
      <c r="E13" s="991"/>
      <c r="F13" s="992">
        <f t="shared" si="0"/>
        <v>0</v>
      </c>
      <c r="G13" s="687"/>
      <c r="H13" s="985"/>
      <c r="I13" s="275">
        <f t="shared" si="1"/>
        <v>54.48</v>
      </c>
    </row>
    <row r="14" spans="1:9" x14ac:dyDescent="0.25">
      <c r="B14" s="689">
        <f>B13-C14</f>
        <v>12</v>
      </c>
      <c r="C14" s="256"/>
      <c r="D14" s="983"/>
      <c r="E14" s="991"/>
      <c r="F14" s="992">
        <f t="shared" si="0"/>
        <v>0</v>
      </c>
      <c r="G14" s="687"/>
      <c r="H14" s="985"/>
      <c r="I14" s="275">
        <f t="shared" si="1"/>
        <v>54.48</v>
      </c>
    </row>
    <row r="15" spans="1:9" x14ac:dyDescent="0.25">
      <c r="B15" s="689">
        <f t="shared" ref="B15:B25" si="3">B14-C15</f>
        <v>12</v>
      </c>
      <c r="C15" s="256"/>
      <c r="D15" s="983"/>
      <c r="E15" s="991"/>
      <c r="F15" s="992">
        <f t="shared" si="0"/>
        <v>0</v>
      </c>
      <c r="G15" s="687"/>
      <c r="H15" s="985"/>
      <c r="I15" s="275">
        <f t="shared" si="1"/>
        <v>54.48</v>
      </c>
    </row>
    <row r="16" spans="1:9" x14ac:dyDescent="0.25">
      <c r="B16" s="689">
        <f t="shared" si="3"/>
        <v>12</v>
      </c>
      <c r="C16" s="256"/>
      <c r="D16" s="983"/>
      <c r="E16" s="991"/>
      <c r="F16" s="992">
        <f t="shared" si="0"/>
        <v>0</v>
      </c>
      <c r="G16" s="687"/>
      <c r="H16" s="985"/>
      <c r="I16" s="275">
        <f t="shared" si="1"/>
        <v>54.48</v>
      </c>
    </row>
    <row r="17" spans="1:9" x14ac:dyDescent="0.25">
      <c r="B17" s="689">
        <f t="shared" si="3"/>
        <v>12</v>
      </c>
      <c r="C17" s="256"/>
      <c r="D17" s="983"/>
      <c r="E17" s="991"/>
      <c r="F17" s="992">
        <f t="shared" si="0"/>
        <v>0</v>
      </c>
      <c r="G17" s="687"/>
      <c r="H17" s="985"/>
      <c r="I17" s="275">
        <f t="shared" si="1"/>
        <v>54.48</v>
      </c>
    </row>
    <row r="18" spans="1:9" x14ac:dyDescent="0.25">
      <c r="B18" s="689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89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89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89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89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89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89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89">
        <f t="shared" si="3"/>
        <v>12</v>
      </c>
      <c r="C25" s="37"/>
      <c r="D25" s="70">
        <v>0</v>
      </c>
      <c r="E25" s="230"/>
      <c r="F25" s="740">
        <f t="shared" si="0"/>
        <v>0</v>
      </c>
      <c r="G25" s="741"/>
      <c r="H25" s="742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77" t="s">
        <v>21</v>
      </c>
      <c r="E28" s="1178"/>
      <c r="F28" s="147">
        <f>E4+E5-F26+E6</f>
        <v>54.47999999999999</v>
      </c>
    </row>
    <row r="29" spans="1:9" ht="15.75" thickBot="1" x14ac:dyDescent="0.3">
      <c r="A29" s="129"/>
      <c r="D29" s="866" t="s">
        <v>4</v>
      </c>
      <c r="E29" s="867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7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3" t="s">
        <v>7</v>
      </c>
      <c r="C8" s="694" t="s">
        <v>8</v>
      </c>
      <c r="D8" s="695" t="s">
        <v>17</v>
      </c>
      <c r="E8" s="696" t="s">
        <v>2</v>
      </c>
      <c r="F8" s="697" t="s">
        <v>18</v>
      </c>
      <c r="G8" s="692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698"/>
      <c r="D9" s="699"/>
      <c r="E9" s="700"/>
      <c r="F9" s="701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29"/>
      <c r="E10" s="840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29"/>
      <c r="E11" s="840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29">
        <v>0</v>
      </c>
      <c r="E12" s="840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29">
        <v>0</v>
      </c>
      <c r="E13" s="840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29">
        <v>0</v>
      </c>
      <c r="E14" s="840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29">
        <v>0</v>
      </c>
      <c r="E15" s="840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29">
        <v>0</v>
      </c>
      <c r="E16" s="840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29">
        <v>0</v>
      </c>
      <c r="E17" s="840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29">
        <v>0</v>
      </c>
      <c r="E18" s="840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29">
        <v>0</v>
      </c>
      <c r="E19" s="840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29">
        <v>0</v>
      </c>
      <c r="E20" s="505"/>
      <c r="F20" s="629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29">
        <v>0</v>
      </c>
      <c r="E21" s="505"/>
      <c r="F21" s="629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29">
        <v>0</v>
      </c>
      <c r="E22" s="505"/>
      <c r="F22" s="629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29">
        <v>0</v>
      </c>
      <c r="E23" s="505"/>
      <c r="F23" s="629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29">
        <v>0</v>
      </c>
      <c r="E24" s="505"/>
      <c r="F24" s="629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29">
        <v>0</v>
      </c>
      <c r="E25" s="505"/>
      <c r="F25" s="629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29">
        <v>0</v>
      </c>
      <c r="E26" s="505"/>
      <c r="F26" s="629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29">
        <f t="shared" ref="D27:D28" si="3">C27*B27</f>
        <v>0</v>
      </c>
      <c r="E27" s="505"/>
      <c r="F27" s="629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29">
        <f t="shared" si="3"/>
        <v>0</v>
      </c>
      <c r="E28" s="505"/>
      <c r="F28" s="629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2"/>
      <c r="D29" s="703">
        <f>B29*C29</f>
        <v>0</v>
      </c>
      <c r="E29" s="704"/>
      <c r="F29" s="629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7" t="s">
        <v>21</v>
      </c>
      <c r="E32" s="1178"/>
      <c r="F32" s="147">
        <f>E5-F30+E6+E7</f>
        <v>0</v>
      </c>
    </row>
    <row r="33" spans="1:6" ht="15.75" thickBot="1" x14ac:dyDescent="0.3">
      <c r="A33" s="129"/>
      <c r="D33" s="838" t="s">
        <v>4</v>
      </c>
      <c r="E33" s="83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5" t="s">
        <v>246</v>
      </c>
      <c r="B1" s="1195"/>
      <c r="C1" s="1195"/>
      <c r="D1" s="1195"/>
      <c r="E1" s="1195"/>
      <c r="F1" s="1195"/>
      <c r="G1" s="11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5"/>
    </row>
    <row r="6" spans="1:8" ht="15.75" customHeight="1" thickTop="1" x14ac:dyDescent="0.25">
      <c r="A6" s="1186" t="s">
        <v>100</v>
      </c>
      <c r="B6" s="870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86"/>
      <c r="B7" s="871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16">
        <f>E7-G7</f>
        <v>120</v>
      </c>
    </row>
    <row r="8" spans="1:8" ht="16.5" customHeight="1" thickBot="1" x14ac:dyDescent="0.3">
      <c r="A8" s="664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88">
        <v>44533</v>
      </c>
      <c r="F10" s="789">
        <f>D10</f>
        <v>40</v>
      </c>
      <c r="G10" s="790" t="s">
        <v>250</v>
      </c>
      <c r="H10" s="791">
        <v>185</v>
      </c>
    </row>
    <row r="11" spans="1:8" x14ac:dyDescent="0.25">
      <c r="B11" s="540">
        <f>B10-C11</f>
        <v>6</v>
      </c>
      <c r="C11" s="15"/>
      <c r="D11" s="983">
        <v>0</v>
      </c>
      <c r="E11" s="993"/>
      <c r="F11" s="992">
        <f>D11</f>
        <v>0</v>
      </c>
      <c r="G11" s="687"/>
      <c r="H11" s="985"/>
    </row>
    <row r="12" spans="1:8" x14ac:dyDescent="0.25">
      <c r="B12" s="540">
        <f t="shared" ref="B12:B27" si="0">B11-C12</f>
        <v>6</v>
      </c>
      <c r="C12" s="15"/>
      <c r="D12" s="983">
        <v>0</v>
      </c>
      <c r="E12" s="993"/>
      <c r="F12" s="992">
        <f>D12</f>
        <v>0</v>
      </c>
      <c r="G12" s="687"/>
      <c r="H12" s="985"/>
    </row>
    <row r="13" spans="1:8" x14ac:dyDescent="0.25">
      <c r="A13" s="56" t="s">
        <v>33</v>
      </c>
      <c r="B13" s="540">
        <f t="shared" si="0"/>
        <v>6</v>
      </c>
      <c r="C13" s="15"/>
      <c r="D13" s="983">
        <v>0</v>
      </c>
      <c r="E13" s="993"/>
      <c r="F13" s="992">
        <f>D13</f>
        <v>0</v>
      </c>
      <c r="G13" s="687"/>
      <c r="H13" s="985"/>
    </row>
    <row r="14" spans="1:8" x14ac:dyDescent="0.25">
      <c r="B14" s="540">
        <f t="shared" si="0"/>
        <v>6</v>
      </c>
      <c r="C14" s="15"/>
      <c r="D14" s="983">
        <v>0</v>
      </c>
      <c r="E14" s="993"/>
      <c r="F14" s="992">
        <f t="shared" ref="F14:F27" si="1">D14</f>
        <v>0</v>
      </c>
      <c r="G14" s="687"/>
      <c r="H14" s="985"/>
    </row>
    <row r="15" spans="1:8" x14ac:dyDescent="0.25">
      <c r="A15" s="19"/>
      <c r="B15" s="540">
        <f t="shared" si="0"/>
        <v>6</v>
      </c>
      <c r="C15" s="15"/>
      <c r="D15" s="983">
        <v>0</v>
      </c>
      <c r="E15" s="993"/>
      <c r="F15" s="992">
        <f t="shared" si="1"/>
        <v>0</v>
      </c>
      <c r="G15" s="687"/>
      <c r="H15" s="985"/>
    </row>
    <row r="16" spans="1:8" x14ac:dyDescent="0.25">
      <c r="B16" s="540">
        <f t="shared" si="0"/>
        <v>6</v>
      </c>
      <c r="C16" s="15"/>
      <c r="D16" s="983">
        <v>0</v>
      </c>
      <c r="E16" s="993"/>
      <c r="F16" s="992">
        <f t="shared" si="1"/>
        <v>0</v>
      </c>
      <c r="G16" s="687"/>
      <c r="H16" s="985"/>
    </row>
    <row r="17" spans="1:8" x14ac:dyDescent="0.25">
      <c r="B17" s="540">
        <f t="shared" si="0"/>
        <v>6</v>
      </c>
      <c r="C17" s="15"/>
      <c r="D17" s="983">
        <v>0</v>
      </c>
      <c r="E17" s="993"/>
      <c r="F17" s="992">
        <f t="shared" si="1"/>
        <v>0</v>
      </c>
      <c r="G17" s="687"/>
      <c r="H17" s="985"/>
    </row>
    <row r="18" spans="1:8" x14ac:dyDescent="0.25">
      <c r="B18" s="540">
        <f t="shared" si="0"/>
        <v>6</v>
      </c>
      <c r="C18" s="15"/>
      <c r="D18" s="983">
        <v>0</v>
      </c>
      <c r="E18" s="993"/>
      <c r="F18" s="992">
        <f t="shared" si="1"/>
        <v>0</v>
      </c>
      <c r="G18" s="687"/>
      <c r="H18" s="985"/>
    </row>
    <row r="19" spans="1:8" x14ac:dyDescent="0.25">
      <c r="B19" s="540">
        <f t="shared" si="0"/>
        <v>6</v>
      </c>
      <c r="C19" s="15"/>
      <c r="D19" s="983">
        <v>0</v>
      </c>
      <c r="E19" s="993"/>
      <c r="F19" s="992">
        <f t="shared" si="1"/>
        <v>0</v>
      </c>
      <c r="G19" s="687"/>
      <c r="H19" s="985"/>
    </row>
    <row r="20" spans="1:8" x14ac:dyDescent="0.25">
      <c r="B20" s="540">
        <f t="shared" si="0"/>
        <v>6</v>
      </c>
      <c r="C20" s="15"/>
      <c r="D20" s="983">
        <v>0</v>
      </c>
      <c r="E20" s="993"/>
      <c r="F20" s="992">
        <f t="shared" si="1"/>
        <v>0</v>
      </c>
      <c r="G20" s="687"/>
      <c r="H20" s="985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77" t="s">
        <v>21</v>
      </c>
      <c r="E30" s="1178"/>
      <c r="F30" s="147">
        <f>E5+E6-F28+E7+E4+E8</f>
        <v>120</v>
      </c>
    </row>
    <row r="31" spans="1:8" ht="15.75" thickBot="1" x14ac:dyDescent="0.3">
      <c r="A31" s="129"/>
      <c r="D31" s="662" t="s">
        <v>4</v>
      </c>
      <c r="E31" s="663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6" t="s">
        <v>256</v>
      </c>
      <c r="B1" s="1206"/>
      <c r="C1" s="1206"/>
      <c r="D1" s="1206"/>
      <c r="E1" s="1206"/>
      <c r="F1" s="1206"/>
      <c r="G1" s="1206"/>
      <c r="H1" s="1206"/>
      <c r="I1" s="1206"/>
      <c r="J1" s="1206"/>
      <c r="K1" s="84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07" t="s">
        <v>103</v>
      </c>
      <c r="B4" s="336">
        <v>18506.759999999998</v>
      </c>
      <c r="C4" s="685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208"/>
      <c r="B5" s="12" t="s">
        <v>51</v>
      </c>
      <c r="C5" s="686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20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5"/>
      <c r="B7" s="169"/>
      <c r="C7" s="904"/>
      <c r="D7" s="905" t="s">
        <v>160</v>
      </c>
      <c r="E7" s="906">
        <v>-108.88</v>
      </c>
      <c r="F7" s="907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1" t="s">
        <v>93</v>
      </c>
      <c r="I8" s="722" t="s">
        <v>94</v>
      </c>
      <c r="J8" s="722" t="s">
        <v>95</v>
      </c>
      <c r="K8" s="723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4">
        <f>E5-F9+E4+E6+E7</f>
        <v>36447.579999999994</v>
      </c>
      <c r="J9" s="725">
        <f>F5-C9+F4+F6+F7</f>
        <v>1339</v>
      </c>
      <c r="K9" s="726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7">
        <f>I9-F10</f>
        <v>36338.699999999997</v>
      </c>
      <c r="J10" s="728">
        <f>J9-C10</f>
        <v>1335</v>
      </c>
      <c r="K10" s="729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7">
        <f t="shared" ref="I11:I74" si="3">I10-F11</f>
        <v>36311.479999999996</v>
      </c>
      <c r="J11" s="728">
        <f t="shared" ref="J11" si="4">J10-C11</f>
        <v>1334</v>
      </c>
      <c r="K11" s="729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7">
        <f t="shared" si="3"/>
        <v>36284.259999999995</v>
      </c>
      <c r="J12" s="728">
        <f>J11-C12</f>
        <v>1333</v>
      </c>
      <c r="K12" s="729">
        <f t="shared" si="2"/>
        <v>1905.3999999999999</v>
      </c>
    </row>
    <row r="13" spans="1:11" ht="15" customHeight="1" x14ac:dyDescent="0.25">
      <c r="A13" s="684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7">
        <f t="shared" si="3"/>
        <v>35522.099999999991</v>
      </c>
      <c r="J13" s="728">
        <f t="shared" ref="J13:J76" si="5">J12-C13</f>
        <v>1305</v>
      </c>
      <c r="K13" s="729">
        <f t="shared" si="2"/>
        <v>53351.199999999997</v>
      </c>
    </row>
    <row r="14" spans="1:11" x14ac:dyDescent="0.25">
      <c r="A14" s="684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7">
        <f t="shared" si="3"/>
        <v>35467.659999999989</v>
      </c>
      <c r="J14" s="728">
        <f t="shared" si="5"/>
        <v>1303</v>
      </c>
      <c r="K14" s="729">
        <f t="shared" si="2"/>
        <v>3810.7999999999997</v>
      </c>
    </row>
    <row r="15" spans="1:11" x14ac:dyDescent="0.25">
      <c r="A15" s="684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7">
        <f t="shared" si="3"/>
        <v>35440.439999999988</v>
      </c>
      <c r="J15" s="728">
        <f t="shared" si="5"/>
        <v>1302</v>
      </c>
      <c r="K15" s="729">
        <f t="shared" si="2"/>
        <v>1905.3999999999999</v>
      </c>
    </row>
    <row r="16" spans="1:11" x14ac:dyDescent="0.25">
      <c r="A16" s="684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7">
        <f t="shared" si="3"/>
        <v>35331.55999999999</v>
      </c>
      <c r="J16" s="728">
        <f t="shared" si="5"/>
        <v>1298</v>
      </c>
      <c r="K16" s="729">
        <f t="shared" si="2"/>
        <v>7621.5999999999995</v>
      </c>
    </row>
    <row r="17" spans="1:11" x14ac:dyDescent="0.25">
      <c r="A17" s="684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7">
        <f t="shared" si="3"/>
        <v>35304.339999999989</v>
      </c>
      <c r="J17" s="728">
        <f t="shared" si="5"/>
        <v>1297</v>
      </c>
      <c r="K17" s="729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7">
        <f t="shared" si="3"/>
        <v>34324.419999999991</v>
      </c>
      <c r="J18" s="728">
        <f t="shared" si="5"/>
        <v>1261</v>
      </c>
      <c r="K18" s="729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7">
        <f t="shared" si="3"/>
        <v>34052.219999999994</v>
      </c>
      <c r="J19" s="728">
        <f t="shared" si="5"/>
        <v>1251</v>
      </c>
      <c r="K19" s="729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7">
        <f t="shared" si="3"/>
        <v>34024.999999999993</v>
      </c>
      <c r="J20" s="908">
        <f t="shared" si="5"/>
        <v>1250</v>
      </c>
      <c r="K20" s="729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7">
        <f t="shared" si="3"/>
        <v>33997.779999999992</v>
      </c>
      <c r="J21" s="728">
        <f t="shared" si="5"/>
        <v>1249</v>
      </c>
      <c r="K21" s="729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7">
        <f t="shared" si="3"/>
        <v>33970.55999999999</v>
      </c>
      <c r="J22" s="728">
        <f t="shared" si="5"/>
        <v>1248</v>
      </c>
      <c r="K22" s="729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7">
        <f t="shared" si="3"/>
        <v>33099.51999999999</v>
      </c>
      <c r="J23" s="728">
        <f t="shared" si="5"/>
        <v>1216</v>
      </c>
      <c r="K23" s="729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7">
        <f t="shared" si="3"/>
        <v>33072.299999999988</v>
      </c>
      <c r="J24" s="728">
        <f t="shared" si="5"/>
        <v>1215</v>
      </c>
      <c r="K24" s="729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7">
        <f t="shared" si="3"/>
        <v>32990.639999999985</v>
      </c>
      <c r="J25" s="728">
        <f t="shared" si="5"/>
        <v>1212</v>
      </c>
      <c r="K25" s="729">
        <f t="shared" si="2"/>
        <v>5716.2</v>
      </c>
    </row>
    <row r="26" spans="1:11" x14ac:dyDescent="0.25">
      <c r="B26" s="2">
        <v>27.22</v>
      </c>
      <c r="C26" s="15">
        <v>39</v>
      </c>
      <c r="D26" s="859">
        <f t="shared" si="0"/>
        <v>1061.58</v>
      </c>
      <c r="E26" s="860">
        <v>44508</v>
      </c>
      <c r="F26" s="240">
        <f t="shared" si="1"/>
        <v>1061.58</v>
      </c>
      <c r="G26" s="183" t="s">
        <v>168</v>
      </c>
      <c r="H26" s="121">
        <v>70</v>
      </c>
      <c r="I26" s="727">
        <f t="shared" si="3"/>
        <v>31929.059999999983</v>
      </c>
      <c r="J26" s="728">
        <f t="shared" si="5"/>
        <v>1173</v>
      </c>
      <c r="K26" s="729">
        <f t="shared" si="2"/>
        <v>74310.599999999991</v>
      </c>
    </row>
    <row r="27" spans="1:11" x14ac:dyDescent="0.25">
      <c r="B27" s="2">
        <v>27.22</v>
      </c>
      <c r="C27" s="15">
        <v>36</v>
      </c>
      <c r="D27" s="859">
        <f t="shared" si="0"/>
        <v>979.92</v>
      </c>
      <c r="E27" s="860">
        <v>44511</v>
      </c>
      <c r="F27" s="240">
        <f t="shared" si="1"/>
        <v>979.92</v>
      </c>
      <c r="G27" s="183" t="s">
        <v>174</v>
      </c>
      <c r="H27" s="121">
        <v>70</v>
      </c>
      <c r="I27" s="727">
        <f t="shared" si="3"/>
        <v>30949.139999999985</v>
      </c>
      <c r="J27" s="728">
        <f t="shared" si="5"/>
        <v>1137</v>
      </c>
      <c r="K27" s="729">
        <f t="shared" si="2"/>
        <v>68594.399999999994</v>
      </c>
    </row>
    <row r="28" spans="1:11" x14ac:dyDescent="0.25">
      <c r="B28" s="2">
        <v>27.22</v>
      </c>
      <c r="C28" s="15">
        <v>20</v>
      </c>
      <c r="D28" s="859">
        <f t="shared" si="0"/>
        <v>544.4</v>
      </c>
      <c r="E28" s="860">
        <v>44513</v>
      </c>
      <c r="F28" s="240">
        <f t="shared" si="1"/>
        <v>544.4</v>
      </c>
      <c r="G28" s="183" t="s">
        <v>170</v>
      </c>
      <c r="H28" s="121">
        <v>70</v>
      </c>
      <c r="I28" s="727">
        <f t="shared" si="3"/>
        <v>30404.739999999983</v>
      </c>
      <c r="J28" s="728">
        <f t="shared" si="5"/>
        <v>1117</v>
      </c>
      <c r="K28" s="729">
        <f t="shared" si="2"/>
        <v>38108</v>
      </c>
    </row>
    <row r="29" spans="1:11" x14ac:dyDescent="0.25">
      <c r="B29" s="2">
        <v>27.22</v>
      </c>
      <c r="C29" s="15">
        <v>15</v>
      </c>
      <c r="D29" s="859">
        <f t="shared" si="0"/>
        <v>408.29999999999995</v>
      </c>
      <c r="E29" s="860">
        <v>44513</v>
      </c>
      <c r="F29" s="240">
        <f t="shared" si="1"/>
        <v>408.29999999999995</v>
      </c>
      <c r="G29" s="447" t="s">
        <v>182</v>
      </c>
      <c r="H29" s="448">
        <v>70</v>
      </c>
      <c r="I29" s="727">
        <f t="shared" si="3"/>
        <v>29996.439999999984</v>
      </c>
      <c r="J29" s="730">
        <f t="shared" si="5"/>
        <v>1102</v>
      </c>
      <c r="K29" s="729">
        <f t="shared" si="2"/>
        <v>28580.999999999996</v>
      </c>
    </row>
    <row r="30" spans="1:11" x14ac:dyDescent="0.25">
      <c r="B30" s="2">
        <v>27.22</v>
      </c>
      <c r="C30" s="15">
        <v>28</v>
      </c>
      <c r="D30" s="859">
        <f t="shared" si="0"/>
        <v>762.16</v>
      </c>
      <c r="E30" s="860">
        <v>44513</v>
      </c>
      <c r="F30" s="240">
        <f t="shared" si="1"/>
        <v>762.16</v>
      </c>
      <c r="G30" s="447" t="s">
        <v>177</v>
      </c>
      <c r="H30" s="448">
        <v>70</v>
      </c>
      <c r="I30" s="727">
        <f t="shared" si="3"/>
        <v>29234.279999999984</v>
      </c>
      <c r="J30" s="730">
        <f t="shared" si="5"/>
        <v>1074</v>
      </c>
      <c r="K30" s="729">
        <f t="shared" si="2"/>
        <v>53351.199999999997</v>
      </c>
    </row>
    <row r="31" spans="1:11" x14ac:dyDescent="0.25">
      <c r="B31" s="2">
        <v>27.22</v>
      </c>
      <c r="C31" s="15">
        <v>28</v>
      </c>
      <c r="D31" s="859">
        <f t="shared" si="0"/>
        <v>762.16</v>
      </c>
      <c r="E31" s="860">
        <v>44516</v>
      </c>
      <c r="F31" s="240">
        <f t="shared" si="1"/>
        <v>762.16</v>
      </c>
      <c r="G31" s="447" t="s">
        <v>184</v>
      </c>
      <c r="H31" s="448">
        <v>70</v>
      </c>
      <c r="I31" s="727">
        <f t="shared" si="3"/>
        <v>28472.119999999984</v>
      </c>
      <c r="J31" s="730">
        <f t="shared" si="5"/>
        <v>1046</v>
      </c>
      <c r="K31" s="729">
        <f t="shared" si="2"/>
        <v>53351.199999999997</v>
      </c>
    </row>
    <row r="32" spans="1:11" x14ac:dyDescent="0.25">
      <c r="B32" s="2">
        <v>27.22</v>
      </c>
      <c r="C32" s="15">
        <v>10</v>
      </c>
      <c r="D32" s="859">
        <f t="shared" si="0"/>
        <v>272.2</v>
      </c>
      <c r="E32" s="860">
        <v>44516</v>
      </c>
      <c r="F32" s="240">
        <f t="shared" si="1"/>
        <v>272.2</v>
      </c>
      <c r="G32" s="447" t="s">
        <v>189</v>
      </c>
      <c r="H32" s="448">
        <v>70</v>
      </c>
      <c r="I32" s="727">
        <f t="shared" si="3"/>
        <v>28199.919999999984</v>
      </c>
      <c r="J32" s="730">
        <f t="shared" si="5"/>
        <v>1036</v>
      </c>
      <c r="K32" s="729">
        <f t="shared" si="2"/>
        <v>19054</v>
      </c>
    </row>
    <row r="33" spans="2:11" x14ac:dyDescent="0.25">
      <c r="B33" s="2">
        <v>27.22</v>
      </c>
      <c r="C33" s="15">
        <v>7</v>
      </c>
      <c r="D33" s="859">
        <f t="shared" si="0"/>
        <v>190.54</v>
      </c>
      <c r="E33" s="860">
        <v>44517</v>
      </c>
      <c r="F33" s="240">
        <f t="shared" si="1"/>
        <v>190.54</v>
      </c>
      <c r="G33" s="447" t="s">
        <v>180</v>
      </c>
      <c r="H33" s="448">
        <v>70</v>
      </c>
      <c r="I33" s="727">
        <f t="shared" si="3"/>
        <v>28009.379999999983</v>
      </c>
      <c r="J33" s="730">
        <f t="shared" si="5"/>
        <v>1029</v>
      </c>
      <c r="K33" s="729">
        <f t="shared" si="2"/>
        <v>13337.8</v>
      </c>
    </row>
    <row r="34" spans="2:11" x14ac:dyDescent="0.25">
      <c r="B34" s="2">
        <v>27.22</v>
      </c>
      <c r="C34" s="15">
        <v>28</v>
      </c>
      <c r="D34" s="859">
        <f t="shared" si="0"/>
        <v>762.16</v>
      </c>
      <c r="E34" s="860">
        <v>44517</v>
      </c>
      <c r="F34" s="240">
        <f t="shared" si="1"/>
        <v>762.16</v>
      </c>
      <c r="G34" s="183" t="s">
        <v>191</v>
      </c>
      <c r="H34" s="121">
        <v>70</v>
      </c>
      <c r="I34" s="727">
        <f t="shared" si="3"/>
        <v>27247.219999999983</v>
      </c>
      <c r="J34" s="728">
        <f t="shared" si="5"/>
        <v>1001</v>
      </c>
      <c r="K34" s="729">
        <f t="shared" si="2"/>
        <v>53351.199999999997</v>
      </c>
    </row>
    <row r="35" spans="2:11" x14ac:dyDescent="0.25">
      <c r="B35" s="2">
        <v>27.22</v>
      </c>
      <c r="C35" s="15">
        <v>24</v>
      </c>
      <c r="D35" s="859">
        <f t="shared" si="0"/>
        <v>653.28</v>
      </c>
      <c r="E35" s="860">
        <v>44518</v>
      </c>
      <c r="F35" s="240">
        <f t="shared" si="1"/>
        <v>653.28</v>
      </c>
      <c r="G35" s="183" t="s">
        <v>193</v>
      </c>
      <c r="H35" s="121">
        <v>70</v>
      </c>
      <c r="I35" s="727">
        <f t="shared" si="3"/>
        <v>26593.939999999984</v>
      </c>
      <c r="J35" s="728">
        <f t="shared" si="5"/>
        <v>977</v>
      </c>
      <c r="K35" s="729">
        <f t="shared" si="2"/>
        <v>45729.599999999999</v>
      </c>
    </row>
    <row r="36" spans="2:11" x14ac:dyDescent="0.25">
      <c r="B36" s="2">
        <v>27.22</v>
      </c>
      <c r="C36" s="15">
        <v>7</v>
      </c>
      <c r="D36" s="859">
        <f t="shared" si="0"/>
        <v>190.54</v>
      </c>
      <c r="E36" s="860">
        <v>44519</v>
      </c>
      <c r="F36" s="240">
        <f t="shared" si="1"/>
        <v>190.54</v>
      </c>
      <c r="G36" s="183" t="s">
        <v>195</v>
      </c>
      <c r="H36" s="121">
        <v>70</v>
      </c>
      <c r="I36" s="727">
        <f t="shared" si="3"/>
        <v>26403.399999999983</v>
      </c>
      <c r="J36" s="728">
        <f t="shared" si="5"/>
        <v>970</v>
      </c>
      <c r="K36" s="729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7">
        <f t="shared" si="3"/>
        <v>25641.239999999983</v>
      </c>
      <c r="J37" s="728">
        <f t="shared" si="5"/>
        <v>942</v>
      </c>
      <c r="K37" s="729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7">
        <f t="shared" si="3"/>
        <v>24987.959999999985</v>
      </c>
      <c r="J38" s="728">
        <f t="shared" si="5"/>
        <v>918</v>
      </c>
      <c r="K38" s="729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7">
        <f t="shared" si="3"/>
        <v>24933.519999999986</v>
      </c>
      <c r="J39" s="728">
        <f t="shared" si="5"/>
        <v>916</v>
      </c>
      <c r="K39" s="729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7">
        <f t="shared" si="3"/>
        <v>24906.299999999985</v>
      </c>
      <c r="J40" s="728">
        <f t="shared" si="5"/>
        <v>915</v>
      </c>
      <c r="K40" s="729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7">
        <f t="shared" si="3"/>
        <v>23871.939999999984</v>
      </c>
      <c r="J41" s="728">
        <f t="shared" si="5"/>
        <v>877</v>
      </c>
      <c r="K41" s="729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7">
        <f t="shared" si="3"/>
        <v>22783.139999999985</v>
      </c>
      <c r="J42" s="728">
        <f t="shared" si="5"/>
        <v>837</v>
      </c>
      <c r="K42" s="729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7">
        <f t="shared" si="3"/>
        <v>21367.699999999986</v>
      </c>
      <c r="J43" s="728">
        <f t="shared" si="5"/>
        <v>785</v>
      </c>
      <c r="K43" s="729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7">
        <f t="shared" si="3"/>
        <v>20959.399999999987</v>
      </c>
      <c r="J44" s="728">
        <f t="shared" si="5"/>
        <v>770</v>
      </c>
      <c r="K44" s="729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7">
        <f t="shared" si="3"/>
        <v>20551.099999999988</v>
      </c>
      <c r="J45" s="728">
        <f t="shared" si="5"/>
        <v>755</v>
      </c>
      <c r="K45" s="729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7">
        <f t="shared" si="3"/>
        <v>20142.799999999988</v>
      </c>
      <c r="J46" s="728">
        <f t="shared" si="5"/>
        <v>740</v>
      </c>
      <c r="K46" s="729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7">
        <f t="shared" si="3"/>
        <v>19271.759999999987</v>
      </c>
      <c r="J47" s="728">
        <f t="shared" si="5"/>
        <v>708</v>
      </c>
      <c r="K47" s="729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7">
        <f t="shared" si="3"/>
        <v>18863.459999999988</v>
      </c>
      <c r="J48" s="728">
        <f t="shared" si="5"/>
        <v>693</v>
      </c>
      <c r="K48" s="729">
        <f t="shared" si="2"/>
        <v>28580.999999999996</v>
      </c>
    </row>
    <row r="49" spans="1:11" x14ac:dyDescent="0.25">
      <c r="B49" s="2">
        <v>27.22</v>
      </c>
      <c r="C49" s="15">
        <v>15</v>
      </c>
      <c r="D49" s="705">
        <f t="shared" si="0"/>
        <v>408.29999999999995</v>
      </c>
      <c r="E49" s="811">
        <v>44537</v>
      </c>
      <c r="F49" s="705">
        <f t="shared" si="1"/>
        <v>408.29999999999995</v>
      </c>
      <c r="G49" s="706" t="s">
        <v>466</v>
      </c>
      <c r="H49" s="186">
        <v>70</v>
      </c>
      <c r="I49" s="727">
        <f t="shared" si="3"/>
        <v>18455.159999999989</v>
      </c>
      <c r="J49" s="728">
        <f t="shared" si="5"/>
        <v>678</v>
      </c>
      <c r="K49" s="729">
        <f t="shared" si="2"/>
        <v>28580.999999999996</v>
      </c>
    </row>
    <row r="50" spans="1:11" x14ac:dyDescent="0.25">
      <c r="B50" s="2">
        <v>27.22</v>
      </c>
      <c r="C50" s="15">
        <v>3</v>
      </c>
      <c r="D50" s="705">
        <f t="shared" si="0"/>
        <v>81.66</v>
      </c>
      <c r="E50" s="811">
        <v>44538</v>
      </c>
      <c r="F50" s="705">
        <f t="shared" si="1"/>
        <v>81.66</v>
      </c>
      <c r="G50" s="706" t="s">
        <v>478</v>
      </c>
      <c r="H50" s="186">
        <v>70</v>
      </c>
      <c r="I50" s="727">
        <f t="shared" si="3"/>
        <v>18373.499999999989</v>
      </c>
      <c r="J50" s="728">
        <f t="shared" si="5"/>
        <v>675</v>
      </c>
      <c r="K50" s="729">
        <f t="shared" si="2"/>
        <v>5716.2</v>
      </c>
    </row>
    <row r="51" spans="1:11" x14ac:dyDescent="0.25">
      <c r="B51" s="2">
        <v>27.22</v>
      </c>
      <c r="C51" s="15">
        <v>1</v>
      </c>
      <c r="D51" s="705">
        <f t="shared" si="0"/>
        <v>27.22</v>
      </c>
      <c r="E51" s="811">
        <v>44538</v>
      </c>
      <c r="F51" s="705">
        <f t="shared" si="1"/>
        <v>27.22</v>
      </c>
      <c r="G51" s="706" t="s">
        <v>479</v>
      </c>
      <c r="H51" s="186">
        <v>70</v>
      </c>
      <c r="I51" s="727">
        <f t="shared" si="3"/>
        <v>18346.279999999988</v>
      </c>
      <c r="J51" s="728">
        <f t="shared" si="5"/>
        <v>674</v>
      </c>
      <c r="K51" s="729">
        <f t="shared" si="2"/>
        <v>1905.3999999999999</v>
      </c>
    </row>
    <row r="52" spans="1:11" x14ac:dyDescent="0.25">
      <c r="B52" s="2">
        <v>27.22</v>
      </c>
      <c r="C52" s="15">
        <v>36</v>
      </c>
      <c r="D52" s="705">
        <f t="shared" si="0"/>
        <v>979.92</v>
      </c>
      <c r="E52" s="811">
        <v>44538</v>
      </c>
      <c r="F52" s="705">
        <f t="shared" si="1"/>
        <v>979.92</v>
      </c>
      <c r="G52" s="706" t="s">
        <v>458</v>
      </c>
      <c r="H52" s="186">
        <v>70</v>
      </c>
      <c r="I52" s="727">
        <f t="shared" si="3"/>
        <v>17366.35999999999</v>
      </c>
      <c r="J52" s="728">
        <f t="shared" si="5"/>
        <v>638</v>
      </c>
      <c r="K52" s="729">
        <f t="shared" si="2"/>
        <v>68594.399999999994</v>
      </c>
    </row>
    <row r="53" spans="1:11" x14ac:dyDescent="0.25">
      <c r="B53" s="2">
        <v>27.22</v>
      </c>
      <c r="C53" s="15">
        <v>10</v>
      </c>
      <c r="D53" s="705">
        <f t="shared" si="0"/>
        <v>272.2</v>
      </c>
      <c r="E53" s="811">
        <v>44538</v>
      </c>
      <c r="F53" s="705">
        <f t="shared" si="1"/>
        <v>272.2</v>
      </c>
      <c r="G53" s="706" t="s">
        <v>480</v>
      </c>
      <c r="H53" s="186">
        <v>70</v>
      </c>
      <c r="I53" s="727">
        <f t="shared" si="3"/>
        <v>17094.159999999989</v>
      </c>
      <c r="J53" s="728">
        <f t="shared" si="5"/>
        <v>628</v>
      </c>
      <c r="K53" s="729">
        <f t="shared" si="2"/>
        <v>19054</v>
      </c>
    </row>
    <row r="54" spans="1:11" x14ac:dyDescent="0.25">
      <c r="B54" s="2">
        <v>27.22</v>
      </c>
      <c r="C54" s="15">
        <v>15</v>
      </c>
      <c r="D54" s="705">
        <f t="shared" si="0"/>
        <v>408.29999999999995</v>
      </c>
      <c r="E54" s="811">
        <v>44540</v>
      </c>
      <c r="F54" s="705">
        <f t="shared" si="1"/>
        <v>408.29999999999995</v>
      </c>
      <c r="G54" s="706" t="s">
        <v>499</v>
      </c>
      <c r="H54" s="186">
        <v>70</v>
      </c>
      <c r="I54" s="727">
        <f t="shared" si="3"/>
        <v>16685.85999999999</v>
      </c>
      <c r="J54" s="728">
        <f t="shared" si="5"/>
        <v>613</v>
      </c>
      <c r="K54" s="729">
        <f t="shared" si="2"/>
        <v>28580.999999999996</v>
      </c>
    </row>
    <row r="55" spans="1:11" x14ac:dyDescent="0.25">
      <c r="B55" s="2">
        <v>27.22</v>
      </c>
      <c r="C55" s="15">
        <v>28</v>
      </c>
      <c r="D55" s="705">
        <f t="shared" si="0"/>
        <v>762.16</v>
      </c>
      <c r="E55" s="811">
        <v>44540</v>
      </c>
      <c r="F55" s="705">
        <f t="shared" si="1"/>
        <v>762.16</v>
      </c>
      <c r="G55" s="706" t="s">
        <v>460</v>
      </c>
      <c r="H55" s="186">
        <v>70</v>
      </c>
      <c r="I55" s="727">
        <f t="shared" si="3"/>
        <v>15923.69999999999</v>
      </c>
      <c r="J55" s="728">
        <f t="shared" si="5"/>
        <v>585</v>
      </c>
      <c r="K55" s="729">
        <f t="shared" si="2"/>
        <v>53351.199999999997</v>
      </c>
    </row>
    <row r="56" spans="1:11" x14ac:dyDescent="0.25">
      <c r="B56" s="2">
        <v>27.22</v>
      </c>
      <c r="C56" s="15">
        <v>10</v>
      </c>
      <c r="D56" s="705">
        <f t="shared" si="0"/>
        <v>272.2</v>
      </c>
      <c r="E56" s="811">
        <v>44541</v>
      </c>
      <c r="F56" s="705">
        <f t="shared" si="1"/>
        <v>272.2</v>
      </c>
      <c r="G56" s="706" t="s">
        <v>504</v>
      </c>
      <c r="H56" s="186">
        <v>70</v>
      </c>
      <c r="I56" s="727">
        <f t="shared" si="3"/>
        <v>15651.499999999989</v>
      </c>
      <c r="J56" s="728">
        <f t="shared" si="5"/>
        <v>575</v>
      </c>
      <c r="K56" s="729">
        <f t="shared" si="2"/>
        <v>19054</v>
      </c>
    </row>
    <row r="57" spans="1:11" x14ac:dyDescent="0.25">
      <c r="B57" s="2">
        <v>27.22</v>
      </c>
      <c r="C57" s="15">
        <v>24</v>
      </c>
      <c r="D57" s="705">
        <f t="shared" si="0"/>
        <v>653.28</v>
      </c>
      <c r="E57" s="811">
        <v>44541</v>
      </c>
      <c r="F57" s="705">
        <f t="shared" si="1"/>
        <v>653.28</v>
      </c>
      <c r="G57" s="706" t="s">
        <v>506</v>
      </c>
      <c r="H57" s="186">
        <v>70</v>
      </c>
      <c r="I57" s="727">
        <f t="shared" si="3"/>
        <v>14998.219999999988</v>
      </c>
      <c r="J57" s="728">
        <f t="shared" si="5"/>
        <v>551</v>
      </c>
      <c r="K57" s="729">
        <f t="shared" si="2"/>
        <v>45729.599999999999</v>
      </c>
    </row>
    <row r="58" spans="1:11" x14ac:dyDescent="0.25">
      <c r="B58" s="2">
        <v>27.22</v>
      </c>
      <c r="C58" s="15">
        <v>20</v>
      </c>
      <c r="D58" s="705">
        <f t="shared" si="0"/>
        <v>544.4</v>
      </c>
      <c r="E58" s="811">
        <v>44544</v>
      </c>
      <c r="F58" s="705">
        <f t="shared" si="1"/>
        <v>544.4</v>
      </c>
      <c r="G58" s="706" t="s">
        <v>518</v>
      </c>
      <c r="H58" s="186">
        <v>70</v>
      </c>
      <c r="I58" s="727">
        <f t="shared" si="3"/>
        <v>14453.819999999989</v>
      </c>
      <c r="J58" s="728">
        <f t="shared" si="5"/>
        <v>531</v>
      </c>
      <c r="K58" s="729">
        <f t="shared" si="2"/>
        <v>38108</v>
      </c>
    </row>
    <row r="59" spans="1:11" x14ac:dyDescent="0.25">
      <c r="B59" s="2">
        <v>27.22</v>
      </c>
      <c r="C59" s="15">
        <v>20</v>
      </c>
      <c r="D59" s="705">
        <f t="shared" si="0"/>
        <v>544.4</v>
      </c>
      <c r="E59" s="811">
        <v>44544</v>
      </c>
      <c r="F59" s="705">
        <f t="shared" si="1"/>
        <v>544.4</v>
      </c>
      <c r="G59" s="706" t="s">
        <v>519</v>
      </c>
      <c r="H59" s="186">
        <v>70</v>
      </c>
      <c r="I59" s="727">
        <f t="shared" si="3"/>
        <v>13909.419999999989</v>
      </c>
      <c r="J59" s="728">
        <f t="shared" si="5"/>
        <v>511</v>
      </c>
      <c r="K59" s="729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5">
        <f t="shared" si="0"/>
        <v>408.29999999999995</v>
      </c>
      <c r="E60" s="811">
        <v>44546</v>
      </c>
      <c r="F60" s="705">
        <f t="shared" si="1"/>
        <v>408.29999999999995</v>
      </c>
      <c r="G60" s="706" t="s">
        <v>495</v>
      </c>
      <c r="H60" s="186">
        <v>70</v>
      </c>
      <c r="I60" s="727">
        <f t="shared" si="3"/>
        <v>13501.11999999999</v>
      </c>
      <c r="J60" s="728">
        <f t="shared" si="5"/>
        <v>496</v>
      </c>
      <c r="K60" s="729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5">
        <f t="shared" si="0"/>
        <v>136.1</v>
      </c>
      <c r="E61" s="811">
        <v>44547</v>
      </c>
      <c r="F61" s="705">
        <f t="shared" si="1"/>
        <v>136.1</v>
      </c>
      <c r="G61" s="706" t="s">
        <v>534</v>
      </c>
      <c r="H61" s="186">
        <v>70</v>
      </c>
      <c r="I61" s="727">
        <f t="shared" si="3"/>
        <v>13365.01999999999</v>
      </c>
      <c r="J61" s="728">
        <f t="shared" si="5"/>
        <v>491</v>
      </c>
      <c r="K61" s="729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5">
        <f t="shared" si="0"/>
        <v>27.22</v>
      </c>
      <c r="E62" s="811">
        <v>44547</v>
      </c>
      <c r="F62" s="705">
        <f t="shared" si="1"/>
        <v>27.22</v>
      </c>
      <c r="G62" s="706" t="s">
        <v>535</v>
      </c>
      <c r="H62" s="186">
        <v>70</v>
      </c>
      <c r="I62" s="727">
        <f t="shared" si="3"/>
        <v>13337.79999999999</v>
      </c>
      <c r="J62" s="728">
        <f t="shared" si="5"/>
        <v>490</v>
      </c>
      <c r="K62" s="729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5">
        <f t="shared" si="0"/>
        <v>27.22</v>
      </c>
      <c r="E63" s="811">
        <v>44548</v>
      </c>
      <c r="F63" s="705">
        <f t="shared" si="1"/>
        <v>27.22</v>
      </c>
      <c r="G63" s="706" t="s">
        <v>537</v>
      </c>
      <c r="H63" s="186">
        <v>70</v>
      </c>
      <c r="I63" s="727">
        <f t="shared" si="3"/>
        <v>13310.579999999991</v>
      </c>
      <c r="J63" s="728">
        <f t="shared" si="5"/>
        <v>489</v>
      </c>
      <c r="K63" s="729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5">
        <f t="shared" si="0"/>
        <v>27.22</v>
      </c>
      <c r="E64" s="811">
        <v>44548</v>
      </c>
      <c r="F64" s="705">
        <f t="shared" si="1"/>
        <v>27.22</v>
      </c>
      <c r="G64" s="706" t="s">
        <v>545</v>
      </c>
      <c r="H64" s="186">
        <v>70</v>
      </c>
      <c r="I64" s="727">
        <f t="shared" si="3"/>
        <v>13283.359999999991</v>
      </c>
      <c r="J64" s="728">
        <f t="shared" si="5"/>
        <v>488</v>
      </c>
      <c r="K64" s="729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5">
        <f t="shared" si="0"/>
        <v>27.22</v>
      </c>
      <c r="E65" s="811">
        <v>44548</v>
      </c>
      <c r="F65" s="705">
        <f t="shared" si="1"/>
        <v>27.22</v>
      </c>
      <c r="G65" s="706" t="s">
        <v>546</v>
      </c>
      <c r="H65" s="186">
        <v>70</v>
      </c>
      <c r="I65" s="727">
        <f t="shared" si="3"/>
        <v>13256.139999999992</v>
      </c>
      <c r="J65" s="728">
        <f t="shared" si="5"/>
        <v>487</v>
      </c>
      <c r="K65" s="729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5">
        <f t="shared" si="0"/>
        <v>544.4</v>
      </c>
      <c r="E66" s="811">
        <v>44548</v>
      </c>
      <c r="F66" s="705">
        <f t="shared" si="1"/>
        <v>544.4</v>
      </c>
      <c r="G66" s="706" t="s">
        <v>548</v>
      </c>
      <c r="H66" s="186">
        <v>70</v>
      </c>
      <c r="I66" s="727">
        <f t="shared" si="3"/>
        <v>12711.739999999993</v>
      </c>
      <c r="J66" s="728">
        <f t="shared" si="5"/>
        <v>467</v>
      </c>
      <c r="K66" s="729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5">
        <f t="shared" si="0"/>
        <v>544.4</v>
      </c>
      <c r="E67" s="811">
        <v>44548</v>
      </c>
      <c r="F67" s="705">
        <f t="shared" si="1"/>
        <v>544.4</v>
      </c>
      <c r="G67" s="706" t="s">
        <v>548</v>
      </c>
      <c r="H67" s="186">
        <v>70</v>
      </c>
      <c r="I67" s="727">
        <f t="shared" si="3"/>
        <v>12167.339999999993</v>
      </c>
      <c r="J67" s="728">
        <f t="shared" si="5"/>
        <v>447</v>
      </c>
      <c r="K67" s="729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5">
        <f t="shared" si="0"/>
        <v>27.22</v>
      </c>
      <c r="E68" s="811">
        <v>44550</v>
      </c>
      <c r="F68" s="705">
        <f t="shared" si="1"/>
        <v>27.22</v>
      </c>
      <c r="G68" s="706" t="s">
        <v>557</v>
      </c>
      <c r="H68" s="186">
        <v>70</v>
      </c>
      <c r="I68" s="727">
        <f t="shared" si="3"/>
        <v>12140.119999999994</v>
      </c>
      <c r="J68" s="728">
        <f t="shared" si="5"/>
        <v>446</v>
      </c>
      <c r="K68" s="729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5">
        <f t="shared" si="0"/>
        <v>27.22</v>
      </c>
      <c r="E69" s="811">
        <v>44551</v>
      </c>
      <c r="F69" s="705">
        <f t="shared" si="1"/>
        <v>27.22</v>
      </c>
      <c r="G69" s="706" t="s">
        <v>559</v>
      </c>
      <c r="H69" s="186">
        <v>70</v>
      </c>
      <c r="I69" s="727">
        <f t="shared" si="3"/>
        <v>12112.899999999994</v>
      </c>
      <c r="J69" s="728">
        <f t="shared" si="5"/>
        <v>445</v>
      </c>
      <c r="K69" s="729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5">
        <f t="shared" si="0"/>
        <v>27.22</v>
      </c>
      <c r="E70" s="811">
        <v>44551</v>
      </c>
      <c r="F70" s="983">
        <f t="shared" si="1"/>
        <v>27.22</v>
      </c>
      <c r="G70" s="687" t="s">
        <v>562</v>
      </c>
      <c r="H70" s="985">
        <v>70</v>
      </c>
      <c r="I70" s="727">
        <f t="shared" si="3"/>
        <v>12085.679999999995</v>
      </c>
      <c r="J70" s="730">
        <f t="shared" si="5"/>
        <v>444</v>
      </c>
      <c r="K70" s="729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5">
        <f t="shared" si="0"/>
        <v>544.4</v>
      </c>
      <c r="E71" s="811">
        <v>44552</v>
      </c>
      <c r="F71" s="983">
        <f t="shared" si="1"/>
        <v>544.4</v>
      </c>
      <c r="G71" s="687" t="s">
        <v>574</v>
      </c>
      <c r="H71" s="985">
        <v>70</v>
      </c>
      <c r="I71" s="727">
        <f t="shared" si="3"/>
        <v>11541.279999999995</v>
      </c>
      <c r="J71" s="730">
        <f t="shared" si="5"/>
        <v>424</v>
      </c>
      <c r="K71" s="729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5">
        <f t="shared" si="0"/>
        <v>108.88</v>
      </c>
      <c r="E72" s="811">
        <v>44552</v>
      </c>
      <c r="F72" s="983">
        <f t="shared" si="1"/>
        <v>108.88</v>
      </c>
      <c r="G72" s="687" t="s">
        <v>575</v>
      </c>
      <c r="H72" s="985">
        <v>70</v>
      </c>
      <c r="I72" s="727">
        <f t="shared" si="3"/>
        <v>11432.399999999996</v>
      </c>
      <c r="J72" s="730">
        <f t="shared" si="5"/>
        <v>420</v>
      </c>
      <c r="K72" s="729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5">
        <f t="shared" ref="D73:D114" si="6">C73*B73</f>
        <v>54.44</v>
      </c>
      <c r="E73" s="811">
        <v>44552</v>
      </c>
      <c r="F73" s="983">
        <f t="shared" ref="F73:F114" si="7">D73</f>
        <v>54.44</v>
      </c>
      <c r="G73" s="687" t="s">
        <v>576</v>
      </c>
      <c r="H73" s="985">
        <v>70</v>
      </c>
      <c r="I73" s="727">
        <f t="shared" si="3"/>
        <v>11377.959999999995</v>
      </c>
      <c r="J73" s="730">
        <f t="shared" si="5"/>
        <v>418</v>
      </c>
      <c r="K73" s="729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5">
        <f t="shared" si="6"/>
        <v>27.22</v>
      </c>
      <c r="E74" s="811">
        <v>44552</v>
      </c>
      <c r="F74" s="983">
        <f t="shared" si="7"/>
        <v>27.22</v>
      </c>
      <c r="G74" s="687" t="s">
        <v>586</v>
      </c>
      <c r="H74" s="985">
        <v>70</v>
      </c>
      <c r="I74" s="727">
        <f t="shared" si="3"/>
        <v>11350.739999999996</v>
      </c>
      <c r="J74" s="730">
        <f t="shared" si="5"/>
        <v>417</v>
      </c>
      <c r="K74" s="729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5">
        <f t="shared" si="6"/>
        <v>653.28</v>
      </c>
      <c r="E75" s="811">
        <v>44552</v>
      </c>
      <c r="F75" s="983">
        <f t="shared" si="7"/>
        <v>653.28</v>
      </c>
      <c r="G75" s="687" t="s">
        <v>587</v>
      </c>
      <c r="H75" s="985">
        <v>70</v>
      </c>
      <c r="I75" s="727">
        <f t="shared" ref="I75:I113" si="9">I74-F75</f>
        <v>10697.459999999995</v>
      </c>
      <c r="J75" s="730">
        <f t="shared" si="5"/>
        <v>393</v>
      </c>
      <c r="K75" s="729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5">
        <f t="shared" si="6"/>
        <v>27.22</v>
      </c>
      <c r="E76" s="811">
        <v>44553</v>
      </c>
      <c r="F76" s="705">
        <f t="shared" si="7"/>
        <v>27.22</v>
      </c>
      <c r="G76" s="706" t="s">
        <v>588</v>
      </c>
      <c r="H76" s="186">
        <v>70</v>
      </c>
      <c r="I76" s="727">
        <f t="shared" si="9"/>
        <v>10670.239999999996</v>
      </c>
      <c r="J76" s="728">
        <f t="shared" si="5"/>
        <v>392</v>
      </c>
      <c r="K76" s="729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5">
        <f t="shared" si="6"/>
        <v>54.44</v>
      </c>
      <c r="E77" s="811">
        <v>44553</v>
      </c>
      <c r="F77" s="705">
        <f t="shared" si="7"/>
        <v>54.44</v>
      </c>
      <c r="G77" s="706" t="s">
        <v>590</v>
      </c>
      <c r="H77" s="186">
        <v>70</v>
      </c>
      <c r="I77" s="727">
        <f t="shared" si="9"/>
        <v>10615.799999999996</v>
      </c>
      <c r="J77" s="728">
        <f t="shared" ref="J77:J113" si="10">J76-C77</f>
        <v>390</v>
      </c>
      <c r="K77" s="729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5">
        <f t="shared" si="6"/>
        <v>54.44</v>
      </c>
      <c r="E78" s="811">
        <v>44553</v>
      </c>
      <c r="F78" s="705">
        <f t="shared" si="7"/>
        <v>54.44</v>
      </c>
      <c r="G78" s="706" t="s">
        <v>602</v>
      </c>
      <c r="H78" s="186">
        <v>70</v>
      </c>
      <c r="I78" s="727">
        <f t="shared" si="9"/>
        <v>10561.359999999995</v>
      </c>
      <c r="J78" s="728">
        <f t="shared" si="10"/>
        <v>388</v>
      </c>
      <c r="K78" s="729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5">
        <f t="shared" si="6"/>
        <v>653.28</v>
      </c>
      <c r="E79" s="811">
        <v>44554</v>
      </c>
      <c r="F79" s="705">
        <f t="shared" si="7"/>
        <v>653.28</v>
      </c>
      <c r="G79" s="706" t="s">
        <v>606</v>
      </c>
      <c r="H79" s="186">
        <v>70</v>
      </c>
      <c r="I79" s="727">
        <f t="shared" si="9"/>
        <v>9908.0799999999945</v>
      </c>
      <c r="J79" s="728">
        <f t="shared" si="10"/>
        <v>364</v>
      </c>
      <c r="K79" s="729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5">
        <f t="shared" si="6"/>
        <v>27.22</v>
      </c>
      <c r="E80" s="811">
        <v>44554</v>
      </c>
      <c r="F80" s="705">
        <f t="shared" si="7"/>
        <v>27.22</v>
      </c>
      <c r="G80" s="706" t="s">
        <v>607</v>
      </c>
      <c r="H80" s="186">
        <v>70</v>
      </c>
      <c r="I80" s="727">
        <f t="shared" si="9"/>
        <v>9880.8599999999951</v>
      </c>
      <c r="J80" s="728">
        <f t="shared" si="10"/>
        <v>363</v>
      </c>
      <c r="K80" s="729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5">
        <f t="shared" si="6"/>
        <v>136.1</v>
      </c>
      <c r="E81" s="811">
        <v>44557</v>
      </c>
      <c r="F81" s="705">
        <f t="shared" si="7"/>
        <v>136.1</v>
      </c>
      <c r="G81" s="706" t="s">
        <v>623</v>
      </c>
      <c r="H81" s="186">
        <v>70</v>
      </c>
      <c r="I81" s="727">
        <f t="shared" si="9"/>
        <v>9744.7599999999948</v>
      </c>
      <c r="J81" s="728">
        <f t="shared" si="10"/>
        <v>358</v>
      </c>
      <c r="K81" s="729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5">
        <f t="shared" si="6"/>
        <v>1361</v>
      </c>
      <c r="E82" s="811">
        <v>44557</v>
      </c>
      <c r="F82" s="705">
        <f t="shared" si="7"/>
        <v>1361</v>
      </c>
      <c r="G82" s="706" t="s">
        <v>625</v>
      </c>
      <c r="H82" s="186">
        <v>70</v>
      </c>
      <c r="I82" s="727">
        <f t="shared" si="9"/>
        <v>8383.7599999999948</v>
      </c>
      <c r="J82" s="728">
        <f t="shared" si="10"/>
        <v>308</v>
      </c>
      <c r="K82" s="729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5">
        <f t="shared" si="6"/>
        <v>408.29999999999995</v>
      </c>
      <c r="E83" s="811">
        <v>44557</v>
      </c>
      <c r="F83" s="705">
        <f t="shared" si="7"/>
        <v>408.29999999999995</v>
      </c>
      <c r="G83" s="706" t="s">
        <v>626</v>
      </c>
      <c r="H83" s="186">
        <v>70</v>
      </c>
      <c r="I83" s="727">
        <f t="shared" si="9"/>
        <v>7975.4599999999946</v>
      </c>
      <c r="J83" s="728">
        <f t="shared" si="10"/>
        <v>293</v>
      </c>
      <c r="K83" s="729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5">
        <f t="shared" si="6"/>
        <v>653.28</v>
      </c>
      <c r="E84" s="811">
        <v>44557</v>
      </c>
      <c r="F84" s="705">
        <f t="shared" si="7"/>
        <v>653.28</v>
      </c>
      <c r="G84" s="706" t="s">
        <v>627</v>
      </c>
      <c r="H84" s="186">
        <v>70</v>
      </c>
      <c r="I84" s="727">
        <f t="shared" si="9"/>
        <v>7322.1799999999948</v>
      </c>
      <c r="J84" s="728">
        <f t="shared" si="10"/>
        <v>269</v>
      </c>
      <c r="K84" s="729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5">
        <f t="shared" si="6"/>
        <v>54.44</v>
      </c>
      <c r="E85" s="811">
        <v>44558</v>
      </c>
      <c r="F85" s="705">
        <f t="shared" si="7"/>
        <v>54.44</v>
      </c>
      <c r="G85" s="706" t="s">
        <v>629</v>
      </c>
      <c r="H85" s="186">
        <v>70</v>
      </c>
      <c r="I85" s="727">
        <f t="shared" si="9"/>
        <v>7267.7399999999952</v>
      </c>
      <c r="J85" s="728">
        <f t="shared" si="10"/>
        <v>267</v>
      </c>
      <c r="K85" s="729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5">
        <f t="shared" si="6"/>
        <v>27.22</v>
      </c>
      <c r="E86" s="811">
        <v>44558</v>
      </c>
      <c r="F86" s="705">
        <f t="shared" si="7"/>
        <v>27.22</v>
      </c>
      <c r="G86" s="706" t="s">
        <v>632</v>
      </c>
      <c r="H86" s="186">
        <v>70</v>
      </c>
      <c r="I86" s="727">
        <f t="shared" si="9"/>
        <v>7240.519999999995</v>
      </c>
      <c r="J86" s="728">
        <f t="shared" si="10"/>
        <v>266</v>
      </c>
      <c r="K86" s="729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5">
        <f t="shared" si="6"/>
        <v>54.44</v>
      </c>
      <c r="E87" s="811">
        <v>44558</v>
      </c>
      <c r="F87" s="705">
        <f t="shared" si="7"/>
        <v>54.44</v>
      </c>
      <c r="G87" s="706" t="s">
        <v>633</v>
      </c>
      <c r="H87" s="186">
        <v>70</v>
      </c>
      <c r="I87" s="727">
        <f t="shared" si="9"/>
        <v>7186.0799999999954</v>
      </c>
      <c r="J87" s="728">
        <f t="shared" si="10"/>
        <v>264</v>
      </c>
      <c r="K87" s="729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5">
        <f t="shared" si="6"/>
        <v>54.44</v>
      </c>
      <c r="E88" s="811">
        <v>44558</v>
      </c>
      <c r="F88" s="705">
        <f t="shared" si="7"/>
        <v>54.44</v>
      </c>
      <c r="G88" s="706" t="s">
        <v>634</v>
      </c>
      <c r="H88" s="186">
        <v>70</v>
      </c>
      <c r="I88" s="727">
        <f t="shared" si="9"/>
        <v>7131.6399999999958</v>
      </c>
      <c r="J88" s="728">
        <f t="shared" si="10"/>
        <v>262</v>
      </c>
      <c r="K88" s="729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5">
        <f t="shared" si="6"/>
        <v>54.44</v>
      </c>
      <c r="E89" s="811">
        <v>44558</v>
      </c>
      <c r="F89" s="705">
        <f t="shared" si="7"/>
        <v>54.44</v>
      </c>
      <c r="G89" s="706" t="s">
        <v>638</v>
      </c>
      <c r="H89" s="186">
        <v>70</v>
      </c>
      <c r="I89" s="727">
        <f t="shared" si="9"/>
        <v>7077.1999999999962</v>
      </c>
      <c r="J89" s="728">
        <f t="shared" si="10"/>
        <v>260</v>
      </c>
      <c r="K89" s="729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5">
        <f t="shared" si="6"/>
        <v>653.28</v>
      </c>
      <c r="E90" s="811">
        <v>44558</v>
      </c>
      <c r="F90" s="705">
        <f t="shared" si="7"/>
        <v>653.28</v>
      </c>
      <c r="G90" s="706" t="s">
        <v>640</v>
      </c>
      <c r="H90" s="186">
        <v>70</v>
      </c>
      <c r="I90" s="727">
        <f t="shared" si="9"/>
        <v>6423.9199999999964</v>
      </c>
      <c r="J90" s="728">
        <f t="shared" si="10"/>
        <v>236</v>
      </c>
      <c r="K90" s="729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5">
        <f t="shared" si="6"/>
        <v>81.66</v>
      </c>
      <c r="E91" s="811">
        <v>44559</v>
      </c>
      <c r="F91" s="705">
        <f t="shared" si="7"/>
        <v>81.66</v>
      </c>
      <c r="G91" s="706" t="s">
        <v>646</v>
      </c>
      <c r="H91" s="186">
        <v>70</v>
      </c>
      <c r="I91" s="727">
        <f t="shared" si="9"/>
        <v>6342.2599999999966</v>
      </c>
      <c r="J91" s="728">
        <f t="shared" si="10"/>
        <v>233</v>
      </c>
      <c r="K91" s="729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5">
        <f t="shared" si="6"/>
        <v>27.22</v>
      </c>
      <c r="E92" s="811">
        <v>44559</v>
      </c>
      <c r="F92" s="705">
        <f t="shared" si="7"/>
        <v>27.22</v>
      </c>
      <c r="G92" s="706" t="s">
        <v>647</v>
      </c>
      <c r="H92" s="186">
        <v>70</v>
      </c>
      <c r="I92" s="727">
        <f t="shared" si="9"/>
        <v>6315.0399999999963</v>
      </c>
      <c r="J92" s="728">
        <f t="shared" si="10"/>
        <v>232</v>
      </c>
      <c r="K92" s="729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5">
        <f t="shared" si="6"/>
        <v>544.4</v>
      </c>
      <c r="E93" s="811">
        <v>44559</v>
      </c>
      <c r="F93" s="705">
        <f t="shared" si="7"/>
        <v>544.4</v>
      </c>
      <c r="G93" s="706" t="s">
        <v>648</v>
      </c>
      <c r="H93" s="186">
        <v>70</v>
      </c>
      <c r="I93" s="727">
        <f t="shared" si="9"/>
        <v>5770.6399999999967</v>
      </c>
      <c r="J93" s="728">
        <f t="shared" si="10"/>
        <v>212</v>
      </c>
      <c r="K93" s="729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5">
        <f t="shared" si="6"/>
        <v>81.66</v>
      </c>
      <c r="E94" s="811">
        <v>44559</v>
      </c>
      <c r="F94" s="705">
        <f t="shared" si="7"/>
        <v>81.66</v>
      </c>
      <c r="G94" s="706" t="s">
        <v>653</v>
      </c>
      <c r="H94" s="186">
        <v>70</v>
      </c>
      <c r="I94" s="727">
        <f t="shared" si="9"/>
        <v>5688.9799999999968</v>
      </c>
      <c r="J94" s="728">
        <f t="shared" si="10"/>
        <v>209</v>
      </c>
      <c r="K94" s="729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5">
        <f t="shared" si="6"/>
        <v>27.22</v>
      </c>
      <c r="E95" s="811">
        <v>44559</v>
      </c>
      <c r="F95" s="705">
        <f t="shared" si="7"/>
        <v>27.22</v>
      </c>
      <c r="G95" s="706" t="s">
        <v>644</v>
      </c>
      <c r="H95" s="186">
        <v>70</v>
      </c>
      <c r="I95" s="727">
        <f t="shared" si="9"/>
        <v>5661.7599999999966</v>
      </c>
      <c r="J95" s="728">
        <f t="shared" si="10"/>
        <v>208</v>
      </c>
      <c r="K95" s="729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5">
        <f t="shared" si="6"/>
        <v>54.44</v>
      </c>
      <c r="E96" s="811">
        <v>44559</v>
      </c>
      <c r="F96" s="705">
        <f t="shared" si="7"/>
        <v>54.44</v>
      </c>
      <c r="G96" s="706" t="s">
        <v>654</v>
      </c>
      <c r="H96" s="186">
        <v>70</v>
      </c>
      <c r="I96" s="727">
        <f t="shared" si="9"/>
        <v>5607.319999999997</v>
      </c>
      <c r="J96" s="728">
        <f t="shared" si="10"/>
        <v>206</v>
      </c>
      <c r="K96" s="729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5">
        <f t="shared" si="6"/>
        <v>653.28</v>
      </c>
      <c r="E97" s="811">
        <v>44559</v>
      </c>
      <c r="F97" s="705">
        <f t="shared" si="7"/>
        <v>653.28</v>
      </c>
      <c r="G97" s="706" t="s">
        <v>656</v>
      </c>
      <c r="H97" s="186">
        <v>70</v>
      </c>
      <c r="I97" s="727">
        <f t="shared" si="9"/>
        <v>4954.0399999999972</v>
      </c>
      <c r="J97" s="728">
        <f t="shared" si="10"/>
        <v>182</v>
      </c>
      <c r="K97" s="729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5">
        <f t="shared" si="6"/>
        <v>762.16</v>
      </c>
      <c r="E98" s="811">
        <v>44560</v>
      </c>
      <c r="F98" s="705">
        <f t="shared" si="7"/>
        <v>762.16</v>
      </c>
      <c r="G98" s="706" t="s">
        <v>645</v>
      </c>
      <c r="H98" s="186">
        <v>70</v>
      </c>
      <c r="I98" s="727">
        <f t="shared" si="9"/>
        <v>4191.8799999999974</v>
      </c>
      <c r="J98" s="728">
        <f t="shared" si="10"/>
        <v>154</v>
      </c>
      <c r="K98" s="729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5">
        <f t="shared" si="6"/>
        <v>653.28</v>
      </c>
      <c r="E99" s="811">
        <v>44560</v>
      </c>
      <c r="F99" s="705">
        <f t="shared" si="7"/>
        <v>653.28</v>
      </c>
      <c r="G99" s="706" t="s">
        <v>645</v>
      </c>
      <c r="H99" s="186">
        <v>70</v>
      </c>
      <c r="I99" s="727">
        <f t="shared" si="9"/>
        <v>3538.5999999999976</v>
      </c>
      <c r="J99" s="728">
        <f t="shared" si="10"/>
        <v>130</v>
      </c>
      <c r="K99" s="729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5">
        <f t="shared" si="6"/>
        <v>108.88</v>
      </c>
      <c r="E100" s="811">
        <v>44560</v>
      </c>
      <c r="F100" s="705">
        <f t="shared" si="7"/>
        <v>108.88</v>
      </c>
      <c r="G100" s="706" t="s">
        <v>662</v>
      </c>
      <c r="H100" s="186">
        <v>70</v>
      </c>
      <c r="I100" s="727">
        <f t="shared" si="9"/>
        <v>3429.7199999999975</v>
      </c>
      <c r="J100" s="728">
        <f t="shared" si="10"/>
        <v>126</v>
      </c>
      <c r="K100" s="729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5">
        <f t="shared" si="6"/>
        <v>27.22</v>
      </c>
      <c r="E101" s="811">
        <v>44561</v>
      </c>
      <c r="F101" s="705">
        <f t="shared" si="7"/>
        <v>27.22</v>
      </c>
      <c r="G101" s="706" t="s">
        <v>673</v>
      </c>
      <c r="H101" s="186">
        <v>70</v>
      </c>
      <c r="I101" s="727">
        <f t="shared" si="9"/>
        <v>3402.4999999999977</v>
      </c>
      <c r="J101" s="728">
        <f t="shared" si="10"/>
        <v>125</v>
      </c>
      <c r="K101" s="729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5">
        <f t="shared" si="6"/>
        <v>27.22</v>
      </c>
      <c r="E102" s="811">
        <v>44561</v>
      </c>
      <c r="F102" s="705">
        <f t="shared" si="7"/>
        <v>27.22</v>
      </c>
      <c r="G102" s="706" t="s">
        <v>674</v>
      </c>
      <c r="H102" s="186">
        <v>70</v>
      </c>
      <c r="I102" s="727">
        <f t="shared" si="9"/>
        <v>3375.2799999999979</v>
      </c>
      <c r="J102" s="728">
        <f t="shared" si="10"/>
        <v>124</v>
      </c>
      <c r="K102" s="729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5">
        <f t="shared" si="6"/>
        <v>54.44</v>
      </c>
      <c r="E103" s="811">
        <v>44563</v>
      </c>
      <c r="F103" s="705">
        <f t="shared" si="7"/>
        <v>54.44</v>
      </c>
      <c r="G103" s="706" t="s">
        <v>680</v>
      </c>
      <c r="H103" s="186">
        <v>70</v>
      </c>
      <c r="I103" s="727">
        <f t="shared" si="9"/>
        <v>3320.8399999999979</v>
      </c>
      <c r="J103" s="728">
        <f t="shared" si="10"/>
        <v>122</v>
      </c>
      <c r="K103" s="729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5">
        <f t="shared" si="6"/>
        <v>653.28</v>
      </c>
      <c r="E104" s="811">
        <v>44563</v>
      </c>
      <c r="F104" s="705">
        <f t="shared" si="7"/>
        <v>653.28</v>
      </c>
      <c r="G104" s="706" t="s">
        <v>683</v>
      </c>
      <c r="H104" s="186">
        <v>70</v>
      </c>
      <c r="I104" s="727">
        <f t="shared" si="9"/>
        <v>2667.5599999999977</v>
      </c>
      <c r="J104" s="728">
        <f t="shared" si="10"/>
        <v>98</v>
      </c>
      <c r="K104" s="729">
        <f t="shared" si="8"/>
        <v>45729.599999999999</v>
      </c>
    </row>
    <row r="105" spans="1:11" x14ac:dyDescent="0.25">
      <c r="A105" s="332"/>
      <c r="B105" s="2">
        <v>27.22</v>
      </c>
      <c r="C105" s="15"/>
      <c r="D105" s="705">
        <f t="shared" si="6"/>
        <v>0</v>
      </c>
      <c r="E105" s="811"/>
      <c r="F105" s="705">
        <f t="shared" si="7"/>
        <v>0</v>
      </c>
      <c r="G105" s="706"/>
      <c r="H105" s="186"/>
      <c r="I105" s="727">
        <f t="shared" si="9"/>
        <v>2667.5599999999977</v>
      </c>
      <c r="J105" s="728">
        <f t="shared" si="10"/>
        <v>98</v>
      </c>
      <c r="K105" s="729">
        <f t="shared" si="8"/>
        <v>0</v>
      </c>
    </row>
    <row r="106" spans="1:11" x14ac:dyDescent="0.25">
      <c r="A106" s="332"/>
      <c r="B106" s="2">
        <v>27.22</v>
      </c>
      <c r="C106" s="15"/>
      <c r="D106" s="705">
        <f t="shared" si="6"/>
        <v>0</v>
      </c>
      <c r="E106" s="811"/>
      <c r="F106" s="705">
        <f t="shared" si="7"/>
        <v>0</v>
      </c>
      <c r="G106" s="706"/>
      <c r="H106" s="186"/>
      <c r="I106" s="727">
        <f t="shared" si="9"/>
        <v>2667.5599999999977</v>
      </c>
      <c r="J106" s="728">
        <f t="shared" si="10"/>
        <v>98</v>
      </c>
      <c r="K106" s="729">
        <f t="shared" si="8"/>
        <v>0</v>
      </c>
    </row>
    <row r="107" spans="1:11" x14ac:dyDescent="0.25">
      <c r="A107" s="332"/>
      <c r="B107" s="2">
        <v>27.22</v>
      </c>
      <c r="C107" s="15"/>
      <c r="D107" s="705">
        <f t="shared" si="6"/>
        <v>0</v>
      </c>
      <c r="E107" s="811"/>
      <c r="F107" s="705">
        <f t="shared" si="7"/>
        <v>0</v>
      </c>
      <c r="G107" s="706"/>
      <c r="H107" s="186"/>
      <c r="I107" s="727">
        <f t="shared" si="9"/>
        <v>2667.5599999999977</v>
      </c>
      <c r="J107" s="728">
        <f t="shared" si="10"/>
        <v>98</v>
      </c>
      <c r="K107" s="729">
        <f t="shared" si="8"/>
        <v>0</v>
      </c>
    </row>
    <row r="108" spans="1:11" x14ac:dyDescent="0.25">
      <c r="A108" s="332"/>
      <c r="B108" s="2">
        <v>27.22</v>
      </c>
      <c r="C108" s="15"/>
      <c r="D108" s="705">
        <f t="shared" si="6"/>
        <v>0</v>
      </c>
      <c r="E108" s="811"/>
      <c r="F108" s="705">
        <f t="shared" si="7"/>
        <v>0</v>
      </c>
      <c r="G108" s="706"/>
      <c r="H108" s="186"/>
      <c r="I108" s="727">
        <f t="shared" si="9"/>
        <v>2667.5599999999977</v>
      </c>
      <c r="J108" s="728">
        <f t="shared" si="10"/>
        <v>98</v>
      </c>
      <c r="K108" s="729">
        <f t="shared" si="8"/>
        <v>0</v>
      </c>
    </row>
    <row r="109" spans="1:11" x14ac:dyDescent="0.25">
      <c r="A109" s="332"/>
      <c r="B109" s="2">
        <v>27.22</v>
      </c>
      <c r="C109" s="15"/>
      <c r="D109" s="705">
        <f t="shared" si="6"/>
        <v>0</v>
      </c>
      <c r="E109" s="811"/>
      <c r="F109" s="705">
        <f t="shared" si="7"/>
        <v>0</v>
      </c>
      <c r="G109" s="706"/>
      <c r="H109" s="186"/>
      <c r="I109" s="727">
        <f t="shared" si="9"/>
        <v>2667.5599999999977</v>
      </c>
      <c r="J109" s="728">
        <f t="shared" si="10"/>
        <v>98</v>
      </c>
      <c r="K109" s="729">
        <f t="shared" si="8"/>
        <v>0</v>
      </c>
    </row>
    <row r="110" spans="1:11" x14ac:dyDescent="0.25">
      <c r="A110" s="332"/>
      <c r="B110" s="2">
        <v>27.22</v>
      </c>
      <c r="C110" s="15"/>
      <c r="D110" s="705">
        <f t="shared" si="6"/>
        <v>0</v>
      </c>
      <c r="E110" s="811"/>
      <c r="F110" s="705">
        <f t="shared" si="7"/>
        <v>0</v>
      </c>
      <c r="G110" s="706"/>
      <c r="H110" s="186"/>
      <c r="I110" s="727">
        <f t="shared" si="9"/>
        <v>2667.5599999999977</v>
      </c>
      <c r="J110" s="728">
        <f t="shared" si="10"/>
        <v>98</v>
      </c>
      <c r="K110" s="729">
        <f t="shared" si="8"/>
        <v>0</v>
      </c>
    </row>
    <row r="111" spans="1:11" x14ac:dyDescent="0.25">
      <c r="A111" s="332"/>
      <c r="B111" s="2">
        <v>27.22</v>
      </c>
      <c r="C111" s="15"/>
      <c r="D111" s="705">
        <f t="shared" si="6"/>
        <v>0</v>
      </c>
      <c r="E111" s="811"/>
      <c r="F111" s="705">
        <f t="shared" si="7"/>
        <v>0</v>
      </c>
      <c r="G111" s="706"/>
      <c r="H111" s="186"/>
      <c r="I111" s="727">
        <f t="shared" si="9"/>
        <v>2667.5599999999977</v>
      </c>
      <c r="J111" s="728">
        <f t="shared" si="10"/>
        <v>98</v>
      </c>
      <c r="K111" s="729">
        <f t="shared" si="8"/>
        <v>0</v>
      </c>
    </row>
    <row r="112" spans="1:11" x14ac:dyDescent="0.25">
      <c r="A112" s="332"/>
      <c r="B112" s="2">
        <v>27.22</v>
      </c>
      <c r="C112" s="15"/>
      <c r="D112" s="705">
        <f t="shared" si="6"/>
        <v>0</v>
      </c>
      <c r="E112" s="811"/>
      <c r="F112" s="705">
        <f t="shared" si="7"/>
        <v>0</v>
      </c>
      <c r="G112" s="706"/>
      <c r="H112" s="186"/>
      <c r="I112" s="727">
        <f t="shared" si="9"/>
        <v>2667.5599999999977</v>
      </c>
      <c r="J112" s="728">
        <f t="shared" si="10"/>
        <v>98</v>
      </c>
      <c r="K112" s="729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5">
        <f t="shared" si="6"/>
        <v>0</v>
      </c>
      <c r="E113" s="811"/>
      <c r="F113" s="705">
        <f t="shared" si="7"/>
        <v>0</v>
      </c>
      <c r="G113" s="706"/>
      <c r="H113" s="186"/>
      <c r="I113" s="727">
        <f t="shared" si="9"/>
        <v>2667.5599999999977</v>
      </c>
      <c r="J113" s="728">
        <f t="shared" si="10"/>
        <v>98</v>
      </c>
      <c r="K113" s="731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89" t="s">
        <v>11</v>
      </c>
      <c r="D120" s="1190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1" t="s">
        <v>255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86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86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1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1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1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1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1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3">
        <v>59.8</v>
      </c>
      <c r="E14" s="994">
        <v>44537</v>
      </c>
      <c r="F14" s="983">
        <f t="shared" si="0"/>
        <v>59.8</v>
      </c>
      <c r="G14" s="687" t="s">
        <v>452</v>
      </c>
      <c r="H14" s="985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3">
        <v>152.46</v>
      </c>
      <c r="E15" s="994">
        <v>44537</v>
      </c>
      <c r="F15" s="983">
        <f t="shared" si="0"/>
        <v>152.46</v>
      </c>
      <c r="G15" s="687" t="s">
        <v>453</v>
      </c>
      <c r="H15" s="985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3">
        <v>110.92</v>
      </c>
      <c r="E16" s="994">
        <v>44544</v>
      </c>
      <c r="F16" s="983">
        <f t="shared" si="0"/>
        <v>110.92</v>
      </c>
      <c r="G16" s="687" t="s">
        <v>518</v>
      </c>
      <c r="H16" s="985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3">
        <v>113.72</v>
      </c>
      <c r="E17" s="994">
        <v>44548</v>
      </c>
      <c r="F17" s="983">
        <f t="shared" si="0"/>
        <v>113.72</v>
      </c>
      <c r="G17" s="687" t="s">
        <v>548</v>
      </c>
      <c r="H17" s="985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3">
        <v>75.72</v>
      </c>
      <c r="E18" s="994">
        <v>44550</v>
      </c>
      <c r="F18" s="983">
        <f t="shared" si="0"/>
        <v>75.72</v>
      </c>
      <c r="G18" s="687" t="s">
        <v>551</v>
      </c>
      <c r="H18" s="985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3">
        <v>15.36</v>
      </c>
      <c r="E19" s="994">
        <v>44552</v>
      </c>
      <c r="F19" s="983">
        <f t="shared" si="0"/>
        <v>15.36</v>
      </c>
      <c r="G19" s="687" t="s">
        <v>586</v>
      </c>
      <c r="H19" s="985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3">
        <v>36.340000000000003</v>
      </c>
      <c r="E20" s="994">
        <v>44553</v>
      </c>
      <c r="F20" s="983">
        <f t="shared" si="0"/>
        <v>36.340000000000003</v>
      </c>
      <c r="G20" s="687" t="s">
        <v>594</v>
      </c>
      <c r="H20" s="985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3">
        <v>20.76</v>
      </c>
      <c r="E21" s="994">
        <v>44553</v>
      </c>
      <c r="F21" s="983">
        <f t="shared" si="0"/>
        <v>20.76</v>
      </c>
      <c r="G21" s="687" t="s">
        <v>600</v>
      </c>
      <c r="H21" s="985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3">
        <v>20.6</v>
      </c>
      <c r="E22" s="994">
        <v>44554</v>
      </c>
      <c r="F22" s="983">
        <f t="shared" si="0"/>
        <v>20.6</v>
      </c>
      <c r="G22" s="687" t="s">
        <v>607</v>
      </c>
      <c r="H22" s="985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3">
        <v>190.06</v>
      </c>
      <c r="E23" s="994">
        <v>44554</v>
      </c>
      <c r="F23" s="983">
        <f t="shared" si="0"/>
        <v>190.06</v>
      </c>
      <c r="G23" s="687" t="s">
        <v>609</v>
      </c>
      <c r="H23" s="985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3">
        <v>16.18</v>
      </c>
      <c r="E24" s="994">
        <v>44558</v>
      </c>
      <c r="F24" s="983">
        <f t="shared" si="0"/>
        <v>16.18</v>
      </c>
      <c r="G24" s="687" t="s">
        <v>632</v>
      </c>
      <c r="H24" s="985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3">
        <v>33.020000000000003</v>
      </c>
      <c r="E25" s="994">
        <v>44558</v>
      </c>
      <c r="F25" s="983">
        <f t="shared" ref="F25:F32" si="3">D25</f>
        <v>33.020000000000003</v>
      </c>
      <c r="G25" s="687" t="s">
        <v>639</v>
      </c>
      <c r="H25" s="985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3">
        <v>18.36</v>
      </c>
      <c r="E26" s="994">
        <v>44558</v>
      </c>
      <c r="F26" s="983">
        <f t="shared" si="3"/>
        <v>18.36</v>
      </c>
      <c r="G26" s="687" t="s">
        <v>640</v>
      </c>
      <c r="H26" s="985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3"/>
      <c r="E27" s="994"/>
      <c r="F27" s="1111">
        <f t="shared" si="3"/>
        <v>0</v>
      </c>
      <c r="G27" s="1087"/>
      <c r="H27" s="1088"/>
      <c r="I27" s="856">
        <f t="shared" si="2"/>
        <v>0</v>
      </c>
    </row>
    <row r="28" spans="2:9" x14ac:dyDescent="0.25">
      <c r="B28" s="205">
        <f t="shared" si="1"/>
        <v>0</v>
      </c>
      <c r="C28" s="53"/>
      <c r="D28" s="983"/>
      <c r="E28" s="994"/>
      <c r="F28" s="1111">
        <f t="shared" si="3"/>
        <v>0</v>
      </c>
      <c r="G28" s="1087"/>
      <c r="H28" s="1088"/>
      <c r="I28" s="856">
        <f t="shared" si="2"/>
        <v>0</v>
      </c>
    </row>
    <row r="29" spans="2:9" x14ac:dyDescent="0.25">
      <c r="B29" s="205">
        <f t="shared" si="1"/>
        <v>0</v>
      </c>
      <c r="C29" s="53"/>
      <c r="D29" s="983"/>
      <c r="E29" s="994"/>
      <c r="F29" s="1111">
        <f t="shared" si="3"/>
        <v>0</v>
      </c>
      <c r="G29" s="1087"/>
      <c r="H29" s="1088"/>
      <c r="I29" s="856">
        <f t="shared" si="2"/>
        <v>0</v>
      </c>
    </row>
    <row r="30" spans="2:9" x14ac:dyDescent="0.25">
      <c r="B30" s="205">
        <f t="shared" si="1"/>
        <v>0</v>
      </c>
      <c r="C30" s="53"/>
      <c r="D30" s="983"/>
      <c r="E30" s="994"/>
      <c r="F30" s="983">
        <f t="shared" si="3"/>
        <v>0</v>
      </c>
      <c r="G30" s="687"/>
      <c r="H30" s="985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1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1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1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1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1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1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1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1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1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1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1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1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1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89" t="s">
        <v>11</v>
      </c>
      <c r="D60" s="1190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5" t="s">
        <v>246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6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86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1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1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1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89" t="s">
        <v>11</v>
      </c>
      <c r="D58" s="1190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5" t="s">
        <v>246</v>
      </c>
      <c r="B1" s="1195"/>
      <c r="C1" s="1195"/>
      <c r="D1" s="1195"/>
      <c r="E1" s="1195"/>
      <c r="F1" s="1195"/>
      <c r="G1" s="119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209" t="s">
        <v>263</v>
      </c>
      <c r="B5" s="1211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210"/>
      <c r="B6" s="1212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4"/>
      <c r="I11" s="1117">
        <f t="shared" si="2"/>
        <v>-0.29500000000007276</v>
      </c>
      <c r="J11" s="1118">
        <f t="shared" si="3"/>
        <v>0</v>
      </c>
      <c r="K11" s="1119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4"/>
      <c r="I12" s="1117">
        <f t="shared" si="2"/>
        <v>-0.29500000000007276</v>
      </c>
      <c r="J12" s="1118">
        <f t="shared" si="3"/>
        <v>0</v>
      </c>
      <c r="K12" s="1119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4"/>
      <c r="I13" s="1117">
        <f t="shared" si="2"/>
        <v>-0.29500000000007276</v>
      </c>
      <c r="J13" s="1118">
        <f t="shared" si="3"/>
        <v>0</v>
      </c>
      <c r="K13" s="1119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4"/>
      <c r="I14" s="1117">
        <f t="shared" si="2"/>
        <v>-0.29500000000007276</v>
      </c>
      <c r="J14" s="1118">
        <f t="shared" si="3"/>
        <v>0</v>
      </c>
      <c r="K14" s="1119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213" t="s">
        <v>11</v>
      </c>
      <c r="D56" s="1214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7" bestFit="1" customWidth="1"/>
    <col min="80" max="80" width="13.85546875" style="62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7" customWidth="1"/>
    <col min="90" max="90" width="11.42578125" style="62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87" t="s">
        <v>252</v>
      </c>
      <c r="L1" s="1187"/>
      <c r="M1" s="1187"/>
      <c r="N1" s="1187"/>
      <c r="O1" s="1187"/>
      <c r="P1" s="1187"/>
      <c r="Q1" s="1187"/>
      <c r="R1" s="378">
        <f>I1+1</f>
        <v>1</v>
      </c>
      <c r="S1" s="378"/>
      <c r="U1" s="1181" t="str">
        <f>K1</f>
        <v>ENTRADAS DEL MES DE   DICIEMBRE      2021</v>
      </c>
      <c r="V1" s="1181"/>
      <c r="W1" s="1181"/>
      <c r="X1" s="1181"/>
      <c r="Y1" s="1181"/>
      <c r="Z1" s="1181"/>
      <c r="AA1" s="1181"/>
      <c r="AB1" s="378">
        <f>R1+1</f>
        <v>2</v>
      </c>
      <c r="AC1" s="631"/>
      <c r="AE1" s="1181" t="str">
        <f>U1</f>
        <v>ENTRADAS DEL MES DE   DICIEMBRE      2021</v>
      </c>
      <c r="AF1" s="1181"/>
      <c r="AG1" s="1181"/>
      <c r="AH1" s="1181"/>
      <c r="AI1" s="1181"/>
      <c r="AJ1" s="1181"/>
      <c r="AK1" s="1181"/>
      <c r="AL1" s="378">
        <f>AB1+1</f>
        <v>3</v>
      </c>
      <c r="AM1" s="378"/>
      <c r="AO1" s="1181" t="str">
        <f>AE1</f>
        <v>ENTRADAS DEL MES DE   DICIEMBRE      2021</v>
      </c>
      <c r="AP1" s="1181"/>
      <c r="AQ1" s="1181"/>
      <c r="AR1" s="1181"/>
      <c r="AS1" s="1181"/>
      <c r="AT1" s="1181"/>
      <c r="AU1" s="1181"/>
      <c r="AV1" s="378">
        <f>AL1+1</f>
        <v>4</v>
      </c>
      <c r="AW1" s="631"/>
      <c r="AY1" s="1181" t="str">
        <f>AO1</f>
        <v>ENTRADAS DEL MES DE   DICIEMBRE      2021</v>
      </c>
      <c r="AZ1" s="1181"/>
      <c r="BA1" s="1181"/>
      <c r="BB1" s="1181"/>
      <c r="BC1" s="1181"/>
      <c r="BD1" s="1181"/>
      <c r="BE1" s="1181"/>
      <c r="BF1" s="378">
        <f>AV1+1</f>
        <v>5</v>
      </c>
      <c r="BG1" s="672"/>
      <c r="BI1" s="1181" t="str">
        <f>AY1</f>
        <v>ENTRADAS DEL MES DE   DICIEMBRE      2021</v>
      </c>
      <c r="BJ1" s="1181"/>
      <c r="BK1" s="1181"/>
      <c r="BL1" s="1181"/>
      <c r="BM1" s="1181"/>
      <c r="BN1" s="1181"/>
      <c r="BO1" s="1181"/>
      <c r="BP1" s="378">
        <f>BF1+1</f>
        <v>6</v>
      </c>
      <c r="BQ1" s="631"/>
      <c r="BS1" s="1181" t="str">
        <f>BI1</f>
        <v>ENTRADAS DEL MES DE   DICIEMBRE      2021</v>
      </c>
      <c r="BT1" s="1181"/>
      <c r="BU1" s="1181"/>
      <c r="BV1" s="1181"/>
      <c r="BW1" s="1181"/>
      <c r="BX1" s="1181"/>
      <c r="BY1" s="1181"/>
      <c r="BZ1" s="378">
        <f>BP1+1</f>
        <v>7</v>
      </c>
      <c r="CC1" s="1181" t="str">
        <f>BS1</f>
        <v>ENTRADAS DEL MES DE   DICIEMBRE      2021</v>
      </c>
      <c r="CD1" s="1181"/>
      <c r="CE1" s="1181"/>
      <c r="CF1" s="1181"/>
      <c r="CG1" s="1181"/>
      <c r="CH1" s="1181"/>
      <c r="CI1" s="1181"/>
      <c r="CJ1" s="378">
        <f>BZ1+1</f>
        <v>8</v>
      </c>
      <c r="CM1" s="1181" t="str">
        <f>CC1</f>
        <v>ENTRADAS DEL MES DE   DICIEMBRE      2021</v>
      </c>
      <c r="CN1" s="1181"/>
      <c r="CO1" s="1181"/>
      <c r="CP1" s="1181"/>
      <c r="CQ1" s="1181"/>
      <c r="CR1" s="1181"/>
      <c r="CS1" s="1181"/>
      <c r="CT1" s="378">
        <f>CJ1+1</f>
        <v>9</v>
      </c>
      <c r="CU1" s="631"/>
      <c r="CW1" s="1181" t="str">
        <f>CM1</f>
        <v>ENTRADAS DEL MES DE   DICIEMBRE      2021</v>
      </c>
      <c r="CX1" s="1181"/>
      <c r="CY1" s="1181"/>
      <c r="CZ1" s="1181"/>
      <c r="DA1" s="1181"/>
      <c r="DB1" s="1181"/>
      <c r="DC1" s="1181"/>
      <c r="DD1" s="378">
        <f>CT1+1</f>
        <v>10</v>
      </c>
      <c r="DE1" s="631"/>
      <c r="DG1" s="1181" t="str">
        <f>CW1</f>
        <v>ENTRADAS DEL MES DE   DICIEMBRE      2021</v>
      </c>
      <c r="DH1" s="1181"/>
      <c r="DI1" s="1181"/>
      <c r="DJ1" s="1181"/>
      <c r="DK1" s="1181"/>
      <c r="DL1" s="1181"/>
      <c r="DM1" s="1181"/>
      <c r="DN1" s="378">
        <f>DD1+1</f>
        <v>11</v>
      </c>
      <c r="DO1" s="631"/>
      <c r="DQ1" s="1181" t="str">
        <f>DG1</f>
        <v>ENTRADAS DEL MES DE   DICIEMBRE      2021</v>
      </c>
      <c r="DR1" s="1181"/>
      <c r="DS1" s="1181"/>
      <c r="DT1" s="1181"/>
      <c r="DU1" s="1181"/>
      <c r="DV1" s="1181"/>
      <c r="DW1" s="1181"/>
      <c r="DX1" s="378">
        <f>DN1+1</f>
        <v>12</v>
      </c>
      <c r="EA1" s="1181" t="str">
        <f>DQ1</f>
        <v>ENTRADAS DEL MES DE   DICIEMBRE      2021</v>
      </c>
      <c r="EB1" s="1181"/>
      <c r="EC1" s="1181"/>
      <c r="ED1" s="1181"/>
      <c r="EE1" s="1181"/>
      <c r="EF1" s="1181"/>
      <c r="EG1" s="1181"/>
      <c r="EH1" s="378">
        <f>DX1+1</f>
        <v>13</v>
      </c>
      <c r="EI1" s="631"/>
      <c r="EK1" s="1181" t="str">
        <f>EA1</f>
        <v>ENTRADAS DEL MES DE   DICIEMBRE      2021</v>
      </c>
      <c r="EL1" s="1181"/>
      <c r="EM1" s="1181"/>
      <c r="EN1" s="1181"/>
      <c r="EO1" s="1181"/>
      <c r="EP1" s="1181"/>
      <c r="EQ1" s="1181"/>
      <c r="ER1" s="378">
        <f>EH1+1</f>
        <v>14</v>
      </c>
      <c r="ES1" s="631"/>
      <c r="EU1" s="1181" t="str">
        <f>EK1</f>
        <v>ENTRADAS DEL MES DE   DICIEMBRE      2021</v>
      </c>
      <c r="EV1" s="1181"/>
      <c r="EW1" s="1181"/>
      <c r="EX1" s="1181"/>
      <c r="EY1" s="1181"/>
      <c r="EZ1" s="1181"/>
      <c r="FA1" s="1181"/>
      <c r="FB1" s="378">
        <f>ER1+1</f>
        <v>15</v>
      </c>
      <c r="FC1" s="631"/>
      <c r="FE1" s="1181" t="str">
        <f>EU1</f>
        <v>ENTRADAS DEL MES DE   DICIEMBRE      2021</v>
      </c>
      <c r="FF1" s="1181"/>
      <c r="FG1" s="1181"/>
      <c r="FH1" s="1181"/>
      <c r="FI1" s="1181"/>
      <c r="FJ1" s="1181"/>
      <c r="FK1" s="1181"/>
      <c r="FL1" s="378">
        <f>FB1+1</f>
        <v>16</v>
      </c>
      <c r="FM1" s="631"/>
      <c r="FO1" s="1181" t="str">
        <f>FE1</f>
        <v>ENTRADAS DEL MES DE   DICIEMBRE      2021</v>
      </c>
      <c r="FP1" s="1181"/>
      <c r="FQ1" s="1181"/>
      <c r="FR1" s="1181"/>
      <c r="FS1" s="1181"/>
      <c r="FT1" s="1181"/>
      <c r="FU1" s="1181"/>
      <c r="FV1" s="378">
        <f>FL1+1</f>
        <v>17</v>
      </c>
      <c r="FW1" s="631"/>
      <c r="FY1" s="1181" t="str">
        <f>FO1</f>
        <v>ENTRADAS DEL MES DE   DICIEMBRE      2021</v>
      </c>
      <c r="FZ1" s="1181"/>
      <c r="GA1" s="1181"/>
      <c r="GB1" s="1181"/>
      <c r="GC1" s="1181"/>
      <c r="GD1" s="1181"/>
      <c r="GE1" s="1181"/>
      <c r="GF1" s="378">
        <f>FV1+1</f>
        <v>18</v>
      </c>
      <c r="GG1" s="631"/>
      <c r="GH1" s="76" t="s">
        <v>37</v>
      </c>
      <c r="GI1" s="1181" t="str">
        <f>FY1</f>
        <v>ENTRADAS DEL MES DE   DICIEMBRE      2021</v>
      </c>
      <c r="GJ1" s="1181"/>
      <c r="GK1" s="1181"/>
      <c r="GL1" s="1181"/>
      <c r="GM1" s="1181"/>
      <c r="GN1" s="1181"/>
      <c r="GO1" s="1181"/>
      <c r="GP1" s="378">
        <f>GF1+1</f>
        <v>19</v>
      </c>
      <c r="GQ1" s="631"/>
      <c r="GS1" s="1181" t="str">
        <f>GI1</f>
        <v>ENTRADAS DEL MES DE   DICIEMBRE      2021</v>
      </c>
      <c r="GT1" s="1181"/>
      <c r="GU1" s="1181"/>
      <c r="GV1" s="1181"/>
      <c r="GW1" s="1181"/>
      <c r="GX1" s="1181"/>
      <c r="GY1" s="1181"/>
      <c r="GZ1" s="378">
        <f>GP1+1</f>
        <v>20</v>
      </c>
      <c r="HA1" s="631"/>
      <c r="HC1" s="1181" t="str">
        <f>GS1</f>
        <v>ENTRADAS DEL MES DE   DICIEMBRE      2021</v>
      </c>
      <c r="HD1" s="1181"/>
      <c r="HE1" s="1181"/>
      <c r="HF1" s="1181"/>
      <c r="HG1" s="1181"/>
      <c r="HH1" s="1181"/>
      <c r="HI1" s="1181"/>
      <c r="HJ1" s="378">
        <f>GZ1+1</f>
        <v>21</v>
      </c>
      <c r="HK1" s="631"/>
      <c r="HM1" s="1181" t="str">
        <f>HC1</f>
        <v>ENTRADAS DEL MES DE   DICIEMBRE      2021</v>
      </c>
      <c r="HN1" s="1181"/>
      <c r="HO1" s="1181"/>
      <c r="HP1" s="1181"/>
      <c r="HQ1" s="1181"/>
      <c r="HR1" s="1181"/>
      <c r="HS1" s="1181"/>
      <c r="HT1" s="378">
        <f>HJ1+1</f>
        <v>22</v>
      </c>
      <c r="HU1" s="631"/>
      <c r="HW1" s="1181" t="str">
        <f>HM1</f>
        <v>ENTRADAS DEL MES DE   DICIEMBRE      2021</v>
      </c>
      <c r="HX1" s="1181"/>
      <c r="HY1" s="1181"/>
      <c r="HZ1" s="1181"/>
      <c r="IA1" s="1181"/>
      <c r="IB1" s="1181"/>
      <c r="IC1" s="1181"/>
      <c r="ID1" s="378">
        <f>HT1+1</f>
        <v>23</v>
      </c>
      <c r="IE1" s="631"/>
      <c r="IG1" s="1181" t="str">
        <f>HW1</f>
        <v>ENTRADAS DEL MES DE   DICIEMBRE      2021</v>
      </c>
      <c r="IH1" s="1181"/>
      <c r="II1" s="1181"/>
      <c r="IJ1" s="1181"/>
      <c r="IK1" s="1181"/>
      <c r="IL1" s="1181"/>
      <c r="IM1" s="1181"/>
      <c r="IN1" s="378">
        <f>ID1+1</f>
        <v>24</v>
      </c>
      <c r="IO1" s="631"/>
      <c r="IQ1" s="1181" t="str">
        <f>IG1</f>
        <v>ENTRADAS DEL MES DE   DICIEMBRE      2021</v>
      </c>
      <c r="IR1" s="1181"/>
      <c r="IS1" s="1181"/>
      <c r="IT1" s="1181"/>
      <c r="IU1" s="1181"/>
      <c r="IV1" s="1181"/>
      <c r="IW1" s="1181"/>
      <c r="IX1" s="378">
        <f>IN1+1</f>
        <v>25</v>
      </c>
      <c r="IY1" s="631"/>
      <c r="JA1" s="1181" t="str">
        <f>IQ1</f>
        <v>ENTRADAS DEL MES DE   DICIEMBRE      2021</v>
      </c>
      <c r="JB1" s="1181"/>
      <c r="JC1" s="1181"/>
      <c r="JD1" s="1181"/>
      <c r="JE1" s="1181"/>
      <c r="JF1" s="1181"/>
      <c r="JG1" s="1181"/>
      <c r="JH1" s="378">
        <f>IX1+1</f>
        <v>26</v>
      </c>
      <c r="JI1" s="631"/>
      <c r="JK1" s="1182" t="str">
        <f>JA1</f>
        <v>ENTRADAS DEL MES DE   DICIEMBRE      2021</v>
      </c>
      <c r="JL1" s="1182"/>
      <c r="JM1" s="1182"/>
      <c r="JN1" s="1182"/>
      <c r="JO1" s="1182"/>
      <c r="JP1" s="1182"/>
      <c r="JQ1" s="1182"/>
      <c r="JR1" s="378">
        <f>JH1+1</f>
        <v>27</v>
      </c>
      <c r="JS1" s="631"/>
      <c r="JU1" s="1181" t="str">
        <f>JK1</f>
        <v>ENTRADAS DEL MES DE   DICIEMBRE      2021</v>
      </c>
      <c r="JV1" s="1181"/>
      <c r="JW1" s="1181"/>
      <c r="JX1" s="1181"/>
      <c r="JY1" s="1181"/>
      <c r="JZ1" s="1181"/>
      <c r="KA1" s="1181"/>
      <c r="KB1" s="378">
        <f>JR1+1</f>
        <v>28</v>
      </c>
      <c r="KC1" s="631"/>
      <c r="KE1" s="1181" t="str">
        <f>JU1</f>
        <v>ENTRADAS DEL MES DE   DICIEMBRE      2021</v>
      </c>
      <c r="KF1" s="1181"/>
      <c r="KG1" s="1181"/>
      <c r="KH1" s="1181"/>
      <c r="KI1" s="1181"/>
      <c r="KJ1" s="1181"/>
      <c r="KK1" s="1181"/>
      <c r="KL1" s="378">
        <f>KB1+1</f>
        <v>29</v>
      </c>
      <c r="KM1" s="631"/>
      <c r="KO1" s="1181" t="str">
        <f>KE1</f>
        <v>ENTRADAS DEL MES DE   DICIEMBRE      2021</v>
      </c>
      <c r="KP1" s="1181"/>
      <c r="KQ1" s="1181"/>
      <c r="KR1" s="1181"/>
      <c r="KS1" s="1181"/>
      <c r="KT1" s="1181"/>
      <c r="KU1" s="1181"/>
      <c r="KV1" s="378">
        <f>KL1+1</f>
        <v>30</v>
      </c>
      <c r="KW1" s="631"/>
      <c r="KY1" s="1181" t="str">
        <f>KO1</f>
        <v>ENTRADAS DEL MES DE   DICIEMBRE      2021</v>
      </c>
      <c r="KZ1" s="1181"/>
      <c r="LA1" s="1181"/>
      <c r="LB1" s="1181"/>
      <c r="LC1" s="1181"/>
      <c r="LD1" s="1181"/>
      <c r="LE1" s="1181"/>
      <c r="LF1" s="378">
        <f>KV1+1</f>
        <v>31</v>
      </c>
      <c r="LG1" s="631"/>
      <c r="LI1" s="1181" t="str">
        <f>KY1</f>
        <v>ENTRADAS DEL MES DE   DICIEMBRE      2021</v>
      </c>
      <c r="LJ1" s="1181"/>
      <c r="LK1" s="1181"/>
      <c r="LL1" s="1181"/>
      <c r="LM1" s="1181"/>
      <c r="LN1" s="1181"/>
      <c r="LO1" s="1181"/>
      <c r="LP1" s="378">
        <f>LF1+1</f>
        <v>32</v>
      </c>
      <c r="LQ1" s="631"/>
      <c r="LS1" s="1181" t="str">
        <f>LI1</f>
        <v>ENTRADAS DEL MES DE   DICIEMBRE      2021</v>
      </c>
      <c r="LT1" s="1181"/>
      <c r="LU1" s="1181"/>
      <c r="LV1" s="1181"/>
      <c r="LW1" s="1181"/>
      <c r="LX1" s="1181"/>
      <c r="LY1" s="1181"/>
      <c r="LZ1" s="378">
        <f>LP1+1</f>
        <v>33</v>
      </c>
      <c r="MC1" s="1181" t="str">
        <f>LS1</f>
        <v>ENTRADAS DEL MES DE   DICIEMBRE      2021</v>
      </c>
      <c r="MD1" s="1181"/>
      <c r="ME1" s="1181"/>
      <c r="MF1" s="1181"/>
      <c r="MG1" s="1181"/>
      <c r="MH1" s="1181"/>
      <c r="MI1" s="1181"/>
      <c r="MJ1" s="378">
        <f>LZ1+1</f>
        <v>34</v>
      </c>
      <c r="MK1" s="378"/>
      <c r="MM1" s="1181" t="str">
        <f>MC1</f>
        <v>ENTRADAS DEL MES DE   DICIEMBRE      2021</v>
      </c>
      <c r="MN1" s="1181"/>
      <c r="MO1" s="1181"/>
      <c r="MP1" s="1181"/>
      <c r="MQ1" s="1181"/>
      <c r="MR1" s="1181"/>
      <c r="MS1" s="1181"/>
      <c r="MT1" s="378">
        <f>MJ1+1</f>
        <v>35</v>
      </c>
      <c r="MU1" s="378"/>
      <c r="MW1" s="1181" t="str">
        <f>MM1</f>
        <v>ENTRADAS DEL MES DE   DICIEMBRE      2021</v>
      </c>
      <c r="MX1" s="1181"/>
      <c r="MY1" s="1181"/>
      <c r="MZ1" s="1181"/>
      <c r="NA1" s="1181"/>
      <c r="NB1" s="1181"/>
      <c r="NC1" s="1181"/>
      <c r="ND1" s="378">
        <f>MT1+1</f>
        <v>36</v>
      </c>
      <c r="NE1" s="378"/>
      <c r="NG1" s="1181" t="str">
        <f>MW1</f>
        <v>ENTRADAS DEL MES DE   DICIEMBRE      2021</v>
      </c>
      <c r="NH1" s="1181"/>
      <c r="NI1" s="1181"/>
      <c r="NJ1" s="1181"/>
      <c r="NK1" s="1181"/>
      <c r="NL1" s="1181"/>
      <c r="NM1" s="1181"/>
      <c r="NN1" s="378">
        <f>ND1+1</f>
        <v>37</v>
      </c>
      <c r="NO1" s="378"/>
      <c r="NQ1" s="1181" t="str">
        <f>NG1</f>
        <v>ENTRADAS DEL MES DE   DICIEMBRE      2021</v>
      </c>
      <c r="NR1" s="1181"/>
      <c r="NS1" s="1181"/>
      <c r="NT1" s="1181"/>
      <c r="NU1" s="1181"/>
      <c r="NV1" s="1181"/>
      <c r="NW1" s="1181"/>
      <c r="NX1" s="378">
        <f>NN1+1</f>
        <v>38</v>
      </c>
      <c r="NY1" s="378"/>
      <c r="OA1" s="1181" t="str">
        <f>NQ1</f>
        <v>ENTRADAS DEL MES DE   DICIEMBRE      2021</v>
      </c>
      <c r="OB1" s="1181"/>
      <c r="OC1" s="1181"/>
      <c r="OD1" s="1181"/>
      <c r="OE1" s="1181"/>
      <c r="OF1" s="1181"/>
      <c r="OG1" s="1181"/>
      <c r="OH1" s="378">
        <f>NX1+1</f>
        <v>39</v>
      </c>
      <c r="OI1" s="378"/>
      <c r="OK1" s="1181" t="str">
        <f>OA1</f>
        <v>ENTRADAS DEL MES DE   DICIEMBRE      2021</v>
      </c>
      <c r="OL1" s="1181"/>
      <c r="OM1" s="1181"/>
      <c r="ON1" s="1181"/>
      <c r="OO1" s="1181"/>
      <c r="OP1" s="1181"/>
      <c r="OQ1" s="1181"/>
      <c r="OR1" s="378">
        <f>OH1+1</f>
        <v>40</v>
      </c>
      <c r="OS1" s="378"/>
      <c r="OU1" s="1181" t="str">
        <f>OK1</f>
        <v>ENTRADAS DEL MES DE   DICIEMBRE      2021</v>
      </c>
      <c r="OV1" s="1181"/>
      <c r="OW1" s="1181"/>
      <c r="OX1" s="1181"/>
      <c r="OY1" s="1181"/>
      <c r="OZ1" s="1181"/>
      <c r="PA1" s="1181"/>
      <c r="PB1" s="378">
        <f>OR1+1</f>
        <v>41</v>
      </c>
      <c r="PC1" s="378"/>
      <c r="PE1" s="1181" t="str">
        <f>OU1</f>
        <v>ENTRADAS DEL MES DE   DICIEMBRE      2021</v>
      </c>
      <c r="PF1" s="1181"/>
      <c r="PG1" s="1181"/>
      <c r="PH1" s="1181"/>
      <c r="PI1" s="1181"/>
      <c r="PJ1" s="1181"/>
      <c r="PK1" s="1181"/>
      <c r="PL1" s="378">
        <f>PB1+1</f>
        <v>42</v>
      </c>
      <c r="PM1" s="378"/>
      <c r="PO1" s="1181" t="str">
        <f>PE1</f>
        <v>ENTRADAS DEL MES DE   DICIEMBRE      2021</v>
      </c>
      <c r="PP1" s="1181"/>
      <c r="PQ1" s="1181"/>
      <c r="PR1" s="1181"/>
      <c r="PS1" s="1181"/>
      <c r="PT1" s="1181"/>
      <c r="PU1" s="1181"/>
      <c r="PV1" s="378">
        <f>PL1+1</f>
        <v>43</v>
      </c>
      <c r="PX1" s="1181" t="str">
        <f>PO1</f>
        <v>ENTRADAS DEL MES DE   DICIEMBRE      2021</v>
      </c>
      <c r="PY1" s="1181"/>
      <c r="PZ1" s="1181"/>
      <c r="QA1" s="1181"/>
      <c r="QB1" s="1181"/>
      <c r="QC1" s="1181"/>
      <c r="QD1" s="1181"/>
      <c r="QE1" s="378">
        <f>PV1+1</f>
        <v>44</v>
      </c>
      <c r="QG1" s="1181" t="str">
        <f>PX1</f>
        <v>ENTRADAS DEL MES DE   DICIEMBRE      2021</v>
      </c>
      <c r="QH1" s="1181"/>
      <c r="QI1" s="1181"/>
      <c r="QJ1" s="1181"/>
      <c r="QK1" s="1181"/>
      <c r="QL1" s="1181"/>
      <c r="QM1" s="1181"/>
      <c r="QN1" s="378">
        <f>QE1+1</f>
        <v>45</v>
      </c>
      <c r="QP1" s="1181" t="str">
        <f>QG1</f>
        <v>ENTRADAS DEL MES DE   DICIEMBRE      2021</v>
      </c>
      <c r="QQ1" s="1181"/>
      <c r="QR1" s="1181"/>
      <c r="QS1" s="1181"/>
      <c r="QT1" s="1181"/>
      <c r="QU1" s="1181"/>
      <c r="QV1" s="1181"/>
      <c r="QW1" s="378">
        <f>QN1+1</f>
        <v>46</v>
      </c>
      <c r="QY1" s="1181" t="str">
        <f>QP1</f>
        <v>ENTRADAS DEL MES DE   DICIEMBRE      2021</v>
      </c>
      <c r="QZ1" s="1181"/>
      <c r="RA1" s="1181"/>
      <c r="RB1" s="1181"/>
      <c r="RC1" s="1181"/>
      <c r="RD1" s="1181"/>
      <c r="RE1" s="1181"/>
      <c r="RF1" s="378">
        <f>QW1+1</f>
        <v>47</v>
      </c>
      <c r="RH1" s="1181" t="str">
        <f>QY1</f>
        <v>ENTRADAS DEL MES DE   DICIEMBRE      2021</v>
      </c>
      <c r="RI1" s="1181"/>
      <c r="RJ1" s="1181"/>
      <c r="RK1" s="1181"/>
      <c r="RL1" s="1181"/>
      <c r="RM1" s="1181"/>
      <c r="RN1" s="1181"/>
      <c r="RO1" s="378">
        <f>RF1+1</f>
        <v>48</v>
      </c>
      <c r="RQ1" s="1181" t="str">
        <f>RH1</f>
        <v>ENTRADAS DEL MES DE   DICIEMBRE      2021</v>
      </c>
      <c r="RR1" s="1181"/>
      <c r="RS1" s="1181"/>
      <c r="RT1" s="1181"/>
      <c r="RU1" s="1181"/>
      <c r="RV1" s="1181"/>
      <c r="RW1" s="1181"/>
      <c r="RX1" s="378">
        <f>RO1+1</f>
        <v>49</v>
      </c>
      <c r="RZ1" s="1181" t="str">
        <f>RQ1</f>
        <v>ENTRADAS DEL MES DE   DICIEMBRE      2021</v>
      </c>
      <c r="SA1" s="1181"/>
      <c r="SB1" s="1181"/>
      <c r="SC1" s="1181"/>
      <c r="SD1" s="1181"/>
      <c r="SE1" s="1181"/>
      <c r="SF1" s="1181"/>
      <c r="SG1" s="378">
        <f>RX1+1</f>
        <v>50</v>
      </c>
      <c r="SI1" s="1181" t="str">
        <f>RZ1</f>
        <v>ENTRADAS DEL MES DE   DICIEMBRE      2021</v>
      </c>
      <c r="SJ1" s="1181"/>
      <c r="SK1" s="1181"/>
      <c r="SL1" s="1181"/>
      <c r="SM1" s="1181"/>
      <c r="SN1" s="1181"/>
      <c r="SO1" s="1181"/>
      <c r="SP1" s="378">
        <f>SG1+1</f>
        <v>51</v>
      </c>
      <c r="SR1" s="1181" t="str">
        <f>SI1</f>
        <v>ENTRADAS DEL MES DE   DICIEMBRE      2021</v>
      </c>
      <c r="SS1" s="1181"/>
      <c r="ST1" s="1181"/>
      <c r="SU1" s="1181"/>
      <c r="SV1" s="1181"/>
      <c r="SW1" s="1181"/>
      <c r="SX1" s="1181"/>
      <c r="SY1" s="378">
        <f>SP1+1</f>
        <v>52</v>
      </c>
      <c r="TA1" s="1181" t="str">
        <f>SR1</f>
        <v>ENTRADAS DEL MES DE   DICIEMBRE      2021</v>
      </c>
      <c r="TB1" s="1181"/>
      <c r="TC1" s="1181"/>
      <c r="TD1" s="1181"/>
      <c r="TE1" s="1181"/>
      <c r="TF1" s="1181"/>
      <c r="TG1" s="1181"/>
      <c r="TH1" s="378">
        <f>SY1+1</f>
        <v>53</v>
      </c>
      <c r="TJ1" s="1181" t="str">
        <f>TA1</f>
        <v>ENTRADAS DEL MES DE   DICIEMBRE      2021</v>
      </c>
      <c r="TK1" s="1181"/>
      <c r="TL1" s="1181"/>
      <c r="TM1" s="1181"/>
      <c r="TN1" s="1181"/>
      <c r="TO1" s="1181"/>
      <c r="TP1" s="1181"/>
      <c r="TQ1" s="378">
        <f>TH1+1</f>
        <v>54</v>
      </c>
      <c r="TS1" s="1181" t="str">
        <f>TJ1</f>
        <v>ENTRADAS DEL MES DE   DICIEMBRE      2021</v>
      </c>
      <c r="TT1" s="1181"/>
      <c r="TU1" s="1181"/>
      <c r="TV1" s="1181"/>
      <c r="TW1" s="1181"/>
      <c r="TX1" s="1181"/>
      <c r="TY1" s="1181"/>
      <c r="TZ1" s="378">
        <f>TQ1+1</f>
        <v>55</v>
      </c>
      <c r="UB1" s="1181" t="str">
        <f>TS1</f>
        <v>ENTRADAS DEL MES DE   DICIEMBRE      2021</v>
      </c>
      <c r="UC1" s="1181"/>
      <c r="UD1" s="1181"/>
      <c r="UE1" s="1181"/>
      <c r="UF1" s="1181"/>
      <c r="UG1" s="1181"/>
      <c r="UH1" s="1181"/>
      <c r="UI1" s="378">
        <f>TZ1+1</f>
        <v>56</v>
      </c>
      <c r="UK1" s="1181" t="str">
        <f>UB1</f>
        <v>ENTRADAS DEL MES DE   DICIEMBRE      2021</v>
      </c>
      <c r="UL1" s="1181"/>
      <c r="UM1" s="1181"/>
      <c r="UN1" s="1181"/>
      <c r="UO1" s="1181"/>
      <c r="UP1" s="1181"/>
      <c r="UQ1" s="1181"/>
      <c r="UR1" s="378">
        <f>UI1+1</f>
        <v>57</v>
      </c>
      <c r="UT1" s="1181" t="str">
        <f>UK1</f>
        <v>ENTRADAS DEL MES DE   DICIEMBRE      2021</v>
      </c>
      <c r="UU1" s="1181"/>
      <c r="UV1" s="1181"/>
      <c r="UW1" s="1181"/>
      <c r="UX1" s="1181"/>
      <c r="UY1" s="1181"/>
      <c r="UZ1" s="1181"/>
      <c r="VA1" s="378">
        <f>UR1+1</f>
        <v>58</v>
      </c>
      <c r="VC1" s="1181" t="str">
        <f>UT1</f>
        <v>ENTRADAS DEL MES DE   DICIEMBRE      2021</v>
      </c>
      <c r="VD1" s="1181"/>
      <c r="VE1" s="1181"/>
      <c r="VF1" s="1181"/>
      <c r="VG1" s="1181"/>
      <c r="VH1" s="1181"/>
      <c r="VI1" s="1181"/>
      <c r="VJ1" s="378">
        <f>VA1+1</f>
        <v>59</v>
      </c>
      <c r="VL1" s="1181" t="str">
        <f>VC1</f>
        <v>ENTRADAS DEL MES DE   DICIEMBRE      2021</v>
      </c>
      <c r="VM1" s="1181"/>
      <c r="VN1" s="1181"/>
      <c r="VO1" s="1181"/>
      <c r="VP1" s="1181"/>
      <c r="VQ1" s="1181"/>
      <c r="VR1" s="1181"/>
      <c r="VS1" s="378">
        <f>VJ1+1</f>
        <v>60</v>
      </c>
      <c r="VU1" s="1181" t="str">
        <f>VL1</f>
        <v>ENTRADAS DEL MES DE   DICIEMBRE      2021</v>
      </c>
      <c r="VV1" s="1181"/>
      <c r="VW1" s="1181"/>
      <c r="VX1" s="1181"/>
      <c r="VY1" s="1181"/>
      <c r="VZ1" s="1181"/>
      <c r="WA1" s="1181"/>
      <c r="WB1" s="378">
        <f>VS1+1</f>
        <v>61</v>
      </c>
      <c r="WD1" s="1181" t="str">
        <f>VU1</f>
        <v>ENTRADAS DEL MES DE   DICIEMBRE      2021</v>
      </c>
      <c r="WE1" s="1181"/>
      <c r="WF1" s="1181"/>
      <c r="WG1" s="1181"/>
      <c r="WH1" s="1181"/>
      <c r="WI1" s="1181"/>
      <c r="WJ1" s="1181"/>
      <c r="WK1" s="378">
        <f>WB1+1</f>
        <v>62</v>
      </c>
      <c r="WM1" s="1181" t="str">
        <f>WD1</f>
        <v>ENTRADAS DEL MES DE   DICIEMBRE      2021</v>
      </c>
      <c r="WN1" s="1181"/>
      <c r="WO1" s="1181"/>
      <c r="WP1" s="1181"/>
      <c r="WQ1" s="1181"/>
      <c r="WR1" s="1181"/>
      <c r="WS1" s="1181"/>
      <c r="WT1" s="378">
        <f>WK1+1</f>
        <v>63</v>
      </c>
      <c r="WV1" s="1181" t="str">
        <f>WM1</f>
        <v>ENTRADAS DEL MES DE   DICIEMBRE      2021</v>
      </c>
      <c r="WW1" s="1181"/>
      <c r="WX1" s="1181"/>
      <c r="WY1" s="1181"/>
      <c r="WZ1" s="1181"/>
      <c r="XA1" s="1181"/>
      <c r="XB1" s="1181"/>
      <c r="XC1" s="378">
        <f>WT1+1</f>
        <v>64</v>
      </c>
      <c r="XE1" s="1181" t="str">
        <f>WV1</f>
        <v>ENTRADAS DEL MES DE   DICIEMBRE      2021</v>
      </c>
      <c r="XF1" s="1181"/>
      <c r="XG1" s="1181"/>
      <c r="XH1" s="1181"/>
      <c r="XI1" s="1181"/>
      <c r="XJ1" s="1181"/>
      <c r="XK1" s="1181"/>
      <c r="XL1" s="378">
        <f>XC1+1</f>
        <v>65</v>
      </c>
      <c r="XN1" s="1181" t="str">
        <f>XE1</f>
        <v>ENTRADAS DEL MES DE   DICIEMBRE      2021</v>
      </c>
      <c r="XO1" s="1181"/>
      <c r="XP1" s="1181"/>
      <c r="XQ1" s="1181"/>
      <c r="XR1" s="1181"/>
      <c r="XS1" s="1181"/>
      <c r="XT1" s="1181"/>
      <c r="XU1" s="378">
        <f>XL1+1</f>
        <v>66</v>
      </c>
      <c r="XW1" s="1181" t="str">
        <f>XN1</f>
        <v>ENTRADAS DEL MES DE   DICIEMBRE      2021</v>
      </c>
      <c r="XX1" s="1181"/>
      <c r="XY1" s="1181"/>
      <c r="XZ1" s="1181"/>
      <c r="YA1" s="1181"/>
      <c r="YB1" s="1181"/>
      <c r="YC1" s="1181"/>
      <c r="YD1" s="378">
        <f>XU1+1</f>
        <v>67</v>
      </c>
      <c r="YF1" s="1181" t="str">
        <f>XW1</f>
        <v>ENTRADAS DEL MES DE   DICIEMBRE      2021</v>
      </c>
      <c r="YG1" s="1181"/>
      <c r="YH1" s="1181"/>
      <c r="YI1" s="1181"/>
      <c r="YJ1" s="1181"/>
      <c r="YK1" s="1181"/>
      <c r="YL1" s="1181"/>
      <c r="YM1" s="378">
        <f>YD1+1</f>
        <v>68</v>
      </c>
      <c r="YO1" s="1181" t="str">
        <f>YF1</f>
        <v>ENTRADAS DEL MES DE   DICIEMBRE      2021</v>
      </c>
      <c r="YP1" s="1181"/>
      <c r="YQ1" s="1181"/>
      <c r="YR1" s="1181"/>
      <c r="YS1" s="1181"/>
      <c r="YT1" s="1181"/>
      <c r="YU1" s="1181"/>
      <c r="YV1" s="378">
        <f>YM1+1</f>
        <v>69</v>
      </c>
      <c r="YX1" s="1181" t="str">
        <f>YO1</f>
        <v>ENTRADAS DEL MES DE   DICIEMBRE      2021</v>
      </c>
      <c r="YY1" s="1181"/>
      <c r="YZ1" s="1181"/>
      <c r="ZA1" s="1181"/>
      <c r="ZB1" s="1181"/>
      <c r="ZC1" s="1181"/>
      <c r="ZD1" s="1181"/>
      <c r="ZE1" s="378">
        <f>YV1+1</f>
        <v>70</v>
      </c>
      <c r="ZG1" s="1181" t="str">
        <f>YX1</f>
        <v>ENTRADAS DEL MES DE   DICIEMBRE      2021</v>
      </c>
      <c r="ZH1" s="1181"/>
      <c r="ZI1" s="1181"/>
      <c r="ZJ1" s="1181"/>
      <c r="ZK1" s="1181"/>
      <c r="ZL1" s="1181"/>
      <c r="ZM1" s="1181"/>
      <c r="ZN1" s="378">
        <f>ZE1+1</f>
        <v>71</v>
      </c>
      <c r="ZP1" s="1181" t="str">
        <f>ZG1</f>
        <v>ENTRADAS DEL MES DE   DICIEMBRE      2021</v>
      </c>
      <c r="ZQ1" s="1181"/>
      <c r="ZR1" s="1181"/>
      <c r="ZS1" s="1181"/>
      <c r="ZT1" s="1181"/>
      <c r="ZU1" s="1181"/>
      <c r="ZV1" s="1181"/>
      <c r="ZW1" s="378">
        <f>ZN1+1</f>
        <v>72</v>
      </c>
      <c r="ZY1" s="1181" t="str">
        <f>ZP1</f>
        <v>ENTRADAS DEL MES DE   DICIEMBRE      2021</v>
      </c>
      <c r="ZZ1" s="1181"/>
      <c r="AAA1" s="1181"/>
      <c r="AAB1" s="1181"/>
      <c r="AAC1" s="1181"/>
      <c r="AAD1" s="1181"/>
      <c r="AAE1" s="1181"/>
      <c r="AAF1" s="378">
        <f>ZW1+1</f>
        <v>73</v>
      </c>
      <c r="AAH1" s="1181" t="str">
        <f>ZY1</f>
        <v>ENTRADAS DEL MES DE   DICIEMBRE      2021</v>
      </c>
      <c r="AAI1" s="1181"/>
      <c r="AAJ1" s="1181"/>
      <c r="AAK1" s="1181"/>
      <c r="AAL1" s="1181"/>
      <c r="AAM1" s="1181"/>
      <c r="AAN1" s="1181"/>
      <c r="AAO1" s="378">
        <f>AAF1+1</f>
        <v>74</v>
      </c>
      <c r="AAQ1" s="1181" t="str">
        <f>AAH1</f>
        <v>ENTRADAS DEL MES DE   DICIEMBRE      2021</v>
      </c>
      <c r="AAR1" s="1181"/>
      <c r="AAS1" s="1181"/>
      <c r="AAT1" s="1181"/>
      <c r="AAU1" s="1181"/>
      <c r="AAV1" s="1181"/>
      <c r="AAW1" s="1181"/>
      <c r="AAX1" s="378">
        <f>AAO1+1</f>
        <v>75</v>
      </c>
      <c r="AAZ1" s="1181" t="str">
        <f>AAQ1</f>
        <v>ENTRADAS DEL MES DE   DICIEMBRE      2021</v>
      </c>
      <c r="ABA1" s="1181"/>
      <c r="ABB1" s="1181"/>
      <c r="ABC1" s="1181"/>
      <c r="ABD1" s="1181"/>
      <c r="ABE1" s="1181"/>
      <c r="ABF1" s="1181"/>
      <c r="ABG1" s="378">
        <f>AAX1+1</f>
        <v>76</v>
      </c>
      <c r="ABI1" s="1181" t="str">
        <f>AAZ1</f>
        <v>ENTRADAS DEL MES DE   DICIEMBRE      2021</v>
      </c>
      <c r="ABJ1" s="1181"/>
      <c r="ABK1" s="1181"/>
      <c r="ABL1" s="1181"/>
      <c r="ABM1" s="1181"/>
      <c r="ABN1" s="1181"/>
      <c r="ABO1" s="1181"/>
      <c r="ABP1" s="378">
        <f>ABG1+1</f>
        <v>77</v>
      </c>
      <c r="ABR1" s="1181" t="str">
        <f>ABI1</f>
        <v>ENTRADAS DEL MES DE   DICIEMBRE      2021</v>
      </c>
      <c r="ABS1" s="1181"/>
      <c r="ABT1" s="1181"/>
      <c r="ABU1" s="1181"/>
      <c r="ABV1" s="1181"/>
      <c r="ABW1" s="1181"/>
      <c r="ABX1" s="1181"/>
      <c r="ABY1" s="378">
        <f>ABP1+1</f>
        <v>78</v>
      </c>
      <c r="ACA1" s="1181" t="str">
        <f>ABR1</f>
        <v>ENTRADAS DEL MES DE   DICIEMBRE      2021</v>
      </c>
      <c r="ACB1" s="1181"/>
      <c r="ACC1" s="1181"/>
      <c r="ACD1" s="1181"/>
      <c r="ACE1" s="1181"/>
      <c r="ACF1" s="1181"/>
      <c r="ACG1" s="1181"/>
      <c r="ACH1" s="378">
        <f>ABY1+1</f>
        <v>79</v>
      </c>
      <c r="ACJ1" s="1181" t="str">
        <f>ACA1</f>
        <v>ENTRADAS DEL MES DE   DICIEMBRE      2021</v>
      </c>
      <c r="ACK1" s="1181"/>
      <c r="ACL1" s="1181"/>
      <c r="ACM1" s="1181"/>
      <c r="ACN1" s="1181"/>
      <c r="ACO1" s="1181"/>
      <c r="ACP1" s="1181"/>
      <c r="ACQ1" s="378">
        <f>ACH1+1</f>
        <v>80</v>
      </c>
      <c r="ACS1" s="1181" t="str">
        <f>ACJ1</f>
        <v>ENTRADAS DEL MES DE   DICIEMBRE      2021</v>
      </c>
      <c r="ACT1" s="1181"/>
      <c r="ACU1" s="1181"/>
      <c r="ACV1" s="1181"/>
      <c r="ACW1" s="1181"/>
      <c r="ACX1" s="1181"/>
      <c r="ACY1" s="1181"/>
      <c r="ACZ1" s="378">
        <f>ACQ1+1</f>
        <v>81</v>
      </c>
      <c r="ADB1" s="1181" t="str">
        <f>ACS1</f>
        <v>ENTRADAS DEL MES DE   DICIEMBRE      2021</v>
      </c>
      <c r="ADC1" s="1181"/>
      <c r="ADD1" s="1181"/>
      <c r="ADE1" s="1181"/>
      <c r="ADF1" s="1181"/>
      <c r="ADG1" s="1181"/>
      <c r="ADH1" s="1181"/>
      <c r="ADI1" s="378">
        <f>ACZ1+1</f>
        <v>82</v>
      </c>
      <c r="ADK1" s="1181" t="str">
        <f>ADB1</f>
        <v>ENTRADAS DEL MES DE   DICIEMBRE      2021</v>
      </c>
      <c r="ADL1" s="1181"/>
      <c r="ADM1" s="1181"/>
      <c r="ADN1" s="1181"/>
      <c r="ADO1" s="1181"/>
      <c r="ADP1" s="1181"/>
      <c r="ADQ1" s="1181"/>
      <c r="ADR1" s="378">
        <f>ADI1+1</f>
        <v>83</v>
      </c>
      <c r="ADT1" s="1181" t="str">
        <f>ADK1</f>
        <v>ENTRADAS DEL MES DE   DICIEMBRE      2021</v>
      </c>
      <c r="ADU1" s="1181"/>
      <c r="ADV1" s="1181"/>
      <c r="ADW1" s="1181"/>
      <c r="ADX1" s="1181"/>
      <c r="ADY1" s="1181"/>
      <c r="ADZ1" s="1181"/>
      <c r="AEA1" s="378">
        <f>ADR1+1</f>
        <v>84</v>
      </c>
      <c r="AEC1" s="1181" t="str">
        <f>ADT1</f>
        <v>ENTRADAS DEL MES DE   DICIEMBRE      2021</v>
      </c>
      <c r="AED1" s="1181"/>
      <c r="AEE1" s="1181"/>
      <c r="AEF1" s="1181"/>
      <c r="AEG1" s="1181"/>
      <c r="AEH1" s="1181"/>
      <c r="AEI1" s="1181"/>
      <c r="AEJ1" s="378">
        <f>AEA1+1</f>
        <v>85</v>
      </c>
      <c r="AEL1" s="1181" t="str">
        <f>AEC1</f>
        <v>ENTRADAS DEL MES DE   DICIEMBRE      2021</v>
      </c>
      <c r="AEM1" s="1181"/>
      <c r="AEN1" s="1181"/>
      <c r="AEO1" s="1181"/>
      <c r="AEP1" s="1181"/>
      <c r="AEQ1" s="1181"/>
      <c r="AER1" s="1181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6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6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6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6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6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6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6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6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6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6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38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6"/>
      <c r="KF4" s="76" t="s">
        <v>23</v>
      </c>
      <c r="KK4" s="372"/>
      <c r="KO4" s="74"/>
      <c r="KP4" s="74" t="s">
        <v>23</v>
      </c>
      <c r="KU4" s="74"/>
      <c r="KV4" s="134"/>
      <c r="KW4" s="645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5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68">
        <v>18864.900000000001</v>
      </c>
      <c r="R5" s="144">
        <f>O5-Q5</f>
        <v>-30.880000000001019</v>
      </c>
      <c r="S5" s="633"/>
      <c r="T5" s="255"/>
      <c r="U5" s="263" t="s">
        <v>161</v>
      </c>
      <c r="V5" s="935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3">
        <v>19041.599999999999</v>
      </c>
      <c r="AB5" s="144">
        <f>Y5-AA5</f>
        <v>-26.469999999997526</v>
      </c>
      <c r="AC5" s="633"/>
      <c r="AD5" s="255"/>
      <c r="AE5" s="255" t="s">
        <v>161</v>
      </c>
      <c r="AF5" s="935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68">
        <v>19179.7</v>
      </c>
      <c r="AL5" s="144">
        <f>AI5-AK5</f>
        <v>-49.220000000001164</v>
      </c>
      <c r="AM5" s="144"/>
      <c r="AN5" s="255"/>
      <c r="AO5" s="255" t="s">
        <v>266</v>
      </c>
      <c r="AP5" s="1012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68">
        <v>18493.310000000001</v>
      </c>
      <c r="AV5" s="144">
        <f>AS5-AU5</f>
        <v>-65.159999999999854</v>
      </c>
      <c r="AW5" s="633"/>
      <c r="AX5" s="255"/>
      <c r="AY5" s="1185" t="s">
        <v>266</v>
      </c>
      <c r="AZ5" s="1012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68">
        <v>18463.38</v>
      </c>
      <c r="BF5" s="144">
        <f>BC5-BE5</f>
        <v>-19.090000000000146</v>
      </c>
      <c r="BG5" s="633"/>
      <c r="BH5" s="255"/>
      <c r="BI5" s="1185" t="s">
        <v>273</v>
      </c>
      <c r="BJ5" s="1013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68">
        <v>18375.900000000001</v>
      </c>
      <c r="BP5" s="144">
        <f>BM5-BO5</f>
        <v>-45.860000000000582</v>
      </c>
      <c r="BQ5" s="633"/>
      <c r="BR5" s="255"/>
      <c r="BS5" s="340" t="s">
        <v>161</v>
      </c>
      <c r="BT5" s="1014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67">
        <v>19005</v>
      </c>
      <c r="BZ5" s="144">
        <f>BW5-BY5</f>
        <v>-124.45000000000073</v>
      </c>
      <c r="CA5" s="338"/>
      <c r="CB5" s="338"/>
      <c r="CC5" s="263" t="s">
        <v>161</v>
      </c>
      <c r="CD5" s="1014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67">
        <v>19204.5</v>
      </c>
      <c r="CJ5" s="144">
        <f>CG5-CI5</f>
        <v>-84.069999999999709</v>
      </c>
      <c r="CK5" s="338"/>
      <c r="CL5" s="338"/>
      <c r="CM5" s="1185" t="s">
        <v>161</v>
      </c>
      <c r="CN5" s="1014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67">
        <v>19061.900000000001</v>
      </c>
      <c r="CT5" s="144">
        <f>CQ5-CS5</f>
        <v>0.22999999999956344</v>
      </c>
      <c r="CU5" s="633"/>
      <c r="CV5" s="255"/>
      <c r="CW5" s="1186" t="s">
        <v>161</v>
      </c>
      <c r="CX5" s="935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67">
        <v>18841.400000000001</v>
      </c>
      <c r="DD5" s="144">
        <f>DA5-DC5</f>
        <v>28.75</v>
      </c>
      <c r="DE5" s="633"/>
      <c r="DF5" s="255"/>
      <c r="DG5" s="255" t="s">
        <v>161</v>
      </c>
      <c r="DH5" s="1014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67">
        <v>18878.400000000001</v>
      </c>
      <c r="DN5" s="144">
        <f>DK5-DM5</f>
        <v>1.5299999999988358</v>
      </c>
      <c r="DO5" s="633"/>
      <c r="DP5" s="255"/>
      <c r="DQ5" s="1188" t="s">
        <v>266</v>
      </c>
      <c r="DR5" s="1029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67">
        <v>18667.04</v>
      </c>
      <c r="DX5" s="144">
        <f>DU5-DW5</f>
        <v>-4.4000000000014552</v>
      </c>
      <c r="DY5" s="338"/>
      <c r="DZ5" s="255"/>
      <c r="EA5" s="255" t="s">
        <v>161</v>
      </c>
      <c r="EB5" s="935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67">
        <v>18989.5</v>
      </c>
      <c r="EH5" s="144">
        <f>EE5-EG5</f>
        <v>-64.299999999999272</v>
      </c>
      <c r="EI5" s="633"/>
      <c r="EJ5" s="255" t="s">
        <v>52</v>
      </c>
      <c r="EK5" s="76" t="s">
        <v>312</v>
      </c>
      <c r="EL5" s="935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1">
        <v>18995.2</v>
      </c>
      <c r="ER5" s="144">
        <f>EO5-EQ5</f>
        <v>-49.010000000002037</v>
      </c>
      <c r="ES5" s="633"/>
      <c r="ET5" s="255"/>
      <c r="EU5" s="1185" t="s">
        <v>161</v>
      </c>
      <c r="EV5" s="935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67">
        <v>19009.400000000001</v>
      </c>
      <c r="FB5" s="144">
        <f>EY5-FA5</f>
        <v>-26.970000000001164</v>
      </c>
      <c r="FC5" s="633"/>
      <c r="FD5" s="255"/>
      <c r="FE5" s="255" t="s">
        <v>161</v>
      </c>
      <c r="FF5" s="935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1">
        <v>18965.2</v>
      </c>
      <c r="FL5" s="144">
        <f>FI5-FK5</f>
        <v>14.770000000000437</v>
      </c>
      <c r="FM5" s="633"/>
      <c r="FN5" s="255"/>
      <c r="FO5" s="564" t="s">
        <v>161</v>
      </c>
      <c r="FP5" s="935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67">
        <v>16413.599999999999</v>
      </c>
      <c r="FV5" s="144">
        <f>FS5-FU5</f>
        <v>-38.889999999999418</v>
      </c>
      <c r="FW5" s="633"/>
      <c r="FX5" s="255"/>
      <c r="FY5" s="263" t="s">
        <v>161</v>
      </c>
      <c r="FZ5" s="935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67">
        <v>18931.5</v>
      </c>
      <c r="GF5" s="144">
        <f>GC5-GE5</f>
        <v>-20.130000000001019</v>
      </c>
      <c r="GG5" s="633"/>
      <c r="GH5" s="255"/>
      <c r="GI5" s="255" t="s">
        <v>161</v>
      </c>
      <c r="GJ5" s="935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67">
        <v>19165.099999999999</v>
      </c>
      <c r="GP5" s="144">
        <f>GM5-GO5</f>
        <v>-4.5</v>
      </c>
      <c r="GQ5" s="633"/>
      <c r="GR5" s="255"/>
      <c r="GS5" s="1185" t="s">
        <v>161</v>
      </c>
      <c r="GT5" s="935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67">
        <v>19026.8</v>
      </c>
      <c r="GZ5" s="144">
        <f>GW5-GY5</f>
        <v>62.240000000001601</v>
      </c>
      <c r="HA5" s="633"/>
      <c r="HB5" s="255"/>
      <c r="HC5" s="1183" t="s">
        <v>161</v>
      </c>
      <c r="HD5" s="935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67">
        <v>18916.7</v>
      </c>
      <c r="HJ5" s="144">
        <f>HG5-HI5</f>
        <v>4.0000000000873115E-2</v>
      </c>
      <c r="HK5" s="633"/>
      <c r="HL5" s="255"/>
      <c r="HM5" s="255" t="s">
        <v>266</v>
      </c>
      <c r="HN5" s="1012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1">
        <v>18538.59</v>
      </c>
      <c r="HT5" s="144">
        <f>HQ5-HS5</f>
        <v>6.5999999999985448</v>
      </c>
      <c r="HU5" s="633"/>
      <c r="HV5" s="255"/>
      <c r="HW5" s="1184" t="s">
        <v>349</v>
      </c>
      <c r="HX5" s="1012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67">
        <v>18447.490000000002</v>
      </c>
      <c r="ID5" s="144">
        <f>IA5-IC5</f>
        <v>-107.97000000000116</v>
      </c>
      <c r="IE5" s="633"/>
      <c r="IF5" s="255"/>
      <c r="IG5" s="255" t="s">
        <v>266</v>
      </c>
      <c r="IH5" s="1012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67">
        <v>18532.759999999998</v>
      </c>
      <c r="IN5" s="144">
        <f>IK5-IM5</f>
        <v>-79.239999999997963</v>
      </c>
      <c r="IO5" s="633"/>
      <c r="IP5" s="255"/>
      <c r="IQ5" s="1185" t="s">
        <v>161</v>
      </c>
      <c r="IR5" s="1034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67">
        <v>18740</v>
      </c>
      <c r="IX5" s="144">
        <f>IU5-IW5</f>
        <v>-38.009999999998399</v>
      </c>
      <c r="IY5" s="633"/>
      <c r="IZ5" s="255"/>
      <c r="JA5" s="255" t="s">
        <v>161</v>
      </c>
      <c r="JB5" s="935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3"/>
      <c r="JJ5" s="255"/>
      <c r="JK5" s="961" t="s">
        <v>161</v>
      </c>
      <c r="JL5" s="1038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1">
        <v>19110.400000000001</v>
      </c>
      <c r="JR5" s="144">
        <f>JO5-JQ5</f>
        <v>-6.3400000000001455</v>
      </c>
      <c r="JS5" s="633"/>
      <c r="JT5" s="255"/>
      <c r="JU5" s="263" t="s">
        <v>161</v>
      </c>
      <c r="JV5" s="935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67">
        <v>19048.8</v>
      </c>
      <c r="KB5" s="144">
        <f>JY5-KA5</f>
        <v>1.1000000000021828</v>
      </c>
      <c r="KC5" s="633"/>
      <c r="KD5" s="255"/>
      <c r="KE5" s="1186" t="s">
        <v>161</v>
      </c>
      <c r="KF5" s="935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3"/>
      <c r="KN5" s="255"/>
      <c r="KO5" s="263" t="s">
        <v>161</v>
      </c>
      <c r="KP5" s="935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67">
        <v>18937.2</v>
      </c>
      <c r="KV5" s="144">
        <f>KS5-KU5</f>
        <v>-69.110000000000582</v>
      </c>
      <c r="KW5" s="633"/>
      <c r="KX5" s="255"/>
      <c r="KY5" s="263" t="s">
        <v>349</v>
      </c>
      <c r="KZ5" s="1012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67">
        <v>18445.669999999998</v>
      </c>
      <c r="LF5" s="144">
        <f>LC5-LE5</f>
        <v>-57.979999999999563</v>
      </c>
      <c r="LG5" s="633"/>
      <c r="LH5" s="255" t="s">
        <v>41</v>
      </c>
      <c r="LI5" s="255" t="s">
        <v>349</v>
      </c>
      <c r="LJ5" s="1012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67">
        <v>18548.650000000001</v>
      </c>
      <c r="LP5" s="144">
        <f>LM5-LO5</f>
        <v>-14.81000000000131</v>
      </c>
      <c r="LQ5" s="633"/>
      <c r="LS5" s="255" t="s">
        <v>161</v>
      </c>
      <c r="LT5" s="935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67">
        <v>19077.5</v>
      </c>
      <c r="LZ5" s="144">
        <f>LW5-LY5</f>
        <v>-142.54999999999927</v>
      </c>
      <c r="MA5" s="633"/>
      <c r="MB5" s="338"/>
      <c r="MC5" s="255" t="s">
        <v>161</v>
      </c>
      <c r="MD5" s="935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67">
        <v>18995.599999999999</v>
      </c>
      <c r="MJ5" s="144">
        <f>MG5-MI5</f>
        <v>-62.019999999996799</v>
      </c>
      <c r="MK5" s="144"/>
      <c r="MM5" s="255" t="s">
        <v>415</v>
      </c>
      <c r="MN5" s="1112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67">
        <v>18531.39</v>
      </c>
      <c r="MT5" s="144">
        <f>MQ5-MS5</f>
        <v>-28.049999999999272</v>
      </c>
      <c r="MU5" s="144"/>
      <c r="MW5" s="255" t="s">
        <v>161</v>
      </c>
      <c r="MX5" s="935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67">
        <v>18849.7</v>
      </c>
      <c r="ND5" s="144">
        <f>NA5-NC5</f>
        <v>-61.659999999999854</v>
      </c>
      <c r="NE5" s="144"/>
      <c r="NG5" s="255" t="s">
        <v>161</v>
      </c>
      <c r="NH5" s="935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5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67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7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85"/>
      <c r="AZ6" s="364"/>
      <c r="BA6" s="255"/>
      <c r="BB6" s="255"/>
      <c r="BC6" s="255"/>
      <c r="BD6" s="255"/>
      <c r="BE6" s="256"/>
      <c r="BF6" s="255"/>
      <c r="BG6" s="338"/>
      <c r="BH6" s="255"/>
      <c r="BI6" s="1185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85"/>
      <c r="CN6" s="691"/>
      <c r="CO6" s="255"/>
      <c r="CP6" s="255"/>
      <c r="CQ6" s="255"/>
      <c r="CR6" s="255"/>
      <c r="CS6" s="256"/>
      <c r="CT6" s="255"/>
      <c r="CU6" s="338"/>
      <c r="CV6" s="255"/>
      <c r="CW6" s="1186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88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85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85"/>
      <c r="GT6" s="264"/>
      <c r="GU6" s="255"/>
      <c r="GV6" s="255"/>
      <c r="GW6" s="255"/>
      <c r="GX6" s="255"/>
      <c r="GY6" s="256"/>
      <c r="GZ6" s="255"/>
      <c r="HA6" s="338"/>
      <c r="HB6" s="255"/>
      <c r="HC6" s="1183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84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85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1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86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7"/>
      <c r="MB6" s="627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5"/>
      <c r="OL6" s="267"/>
      <c r="OM6" s="255"/>
      <c r="ON6" s="255"/>
      <c r="OO6" s="255"/>
      <c r="OP6" s="255"/>
      <c r="OQ6" s="256"/>
      <c r="OU6" s="665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4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4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4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4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4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4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4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4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4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4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4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4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4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4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4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4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4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4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4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4"/>
      <c r="IQ7" s="625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4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4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4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4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4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4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4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4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4"/>
      <c r="MB7" s="634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7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0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6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57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7">
        <f>BZ8*BX8</f>
        <v>33490.799999999996</v>
      </c>
      <c r="CC8" s="62"/>
      <c r="CD8" s="909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7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0" t="s">
        <v>524</v>
      </c>
      <c r="CT8" s="403">
        <v>38</v>
      </c>
      <c r="CU8" s="635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7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5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7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7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7">
        <f>ER8*EP8</f>
        <v>33421</v>
      </c>
      <c r="EU8" s="62"/>
      <c r="EV8" s="108"/>
      <c r="EW8" s="15">
        <v>1</v>
      </c>
      <c r="EX8" s="93">
        <v>900.4</v>
      </c>
      <c r="EY8" s="1106">
        <v>900.4</v>
      </c>
      <c r="EZ8" s="1107">
        <v>900.4</v>
      </c>
      <c r="FA8" s="1108" t="s">
        <v>550</v>
      </c>
      <c r="FB8" s="1109">
        <v>38</v>
      </c>
      <c r="FC8" s="1110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7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7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7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58">
        <v>868.2</v>
      </c>
      <c r="GY8" s="334" t="s">
        <v>569</v>
      </c>
      <c r="GZ8" s="279">
        <v>39</v>
      </c>
      <c r="HA8" s="627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7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7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7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7">
        <f>IN8*IL8</f>
        <v>37826.6</v>
      </c>
      <c r="IQ8" s="882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7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7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7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7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7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7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7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7">
        <f>LZ8*LX8</f>
        <v>37052.400000000001</v>
      </c>
      <c r="MB8" s="627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7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0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6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57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7">
        <f t="shared" ref="CA9:CA28" si="12">BZ9*BX9</f>
        <v>33084</v>
      </c>
      <c r="CD9" s="909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7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5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7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5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7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7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7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7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7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7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7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7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7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7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7">
        <f t="shared" ref="IO9:IO29" si="28">IN9*IL9</f>
        <v>37417.42</v>
      </c>
      <c r="IQ9" s="883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7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7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7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7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7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7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7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7">
        <f t="shared" ref="MA9:MA29" si="37">LZ9*LX9</f>
        <v>38598</v>
      </c>
      <c r="MB9" s="627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7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0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6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57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7">
        <f t="shared" si="12"/>
        <v>33555.599999999999</v>
      </c>
      <c r="CD10" s="909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7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5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7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5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7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7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7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7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7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7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7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7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7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7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7">
        <f t="shared" si="28"/>
        <v>38291.54</v>
      </c>
      <c r="IQ10" s="884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7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7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7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7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7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7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7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7">
        <f t="shared" si="37"/>
        <v>36309</v>
      </c>
      <c r="MB10" s="627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7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0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6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57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7">
        <f t="shared" si="12"/>
        <v>33703.200000000004</v>
      </c>
      <c r="CC11" s="62"/>
      <c r="CD11" s="909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7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5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7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5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7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7">
        <f t="shared" si="17"/>
        <v>35229.800000000003</v>
      </c>
      <c r="EK11" s="1020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7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7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7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7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7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7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7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7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7">
        <f t="shared" si="28"/>
        <v>37454.729999999996</v>
      </c>
      <c r="IQ11" s="885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7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7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7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7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7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7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7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7">
        <f t="shared" si="37"/>
        <v>36388.799999999996</v>
      </c>
      <c r="MB11" s="627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7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0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6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57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7">
        <f t="shared" si="12"/>
        <v>32641.200000000001</v>
      </c>
      <c r="CD12" s="909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7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5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7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5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7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7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7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7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7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7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7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7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7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7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7">
        <f t="shared" si="28"/>
        <v>38793.79</v>
      </c>
      <c r="IQ12" s="884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7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7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7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7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7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7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7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7">
        <f t="shared" si="37"/>
        <v>37606.799999999996</v>
      </c>
      <c r="MB12" s="627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7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0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6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57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7">
        <f t="shared" si="12"/>
        <v>32446.799999999999</v>
      </c>
      <c r="CD13" s="909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7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5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7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5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7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7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7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7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7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7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7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7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7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7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7">
        <f t="shared" si="28"/>
        <v>38328.85</v>
      </c>
      <c r="IQ13" s="884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7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7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7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7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7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7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7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7">
        <f t="shared" si="37"/>
        <v>38463.599999999999</v>
      </c>
      <c r="MB13" s="627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7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0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6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57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7">
        <f t="shared" si="12"/>
        <v>33001.200000000004</v>
      </c>
      <c r="CD14" s="909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7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5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7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5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7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7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7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7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7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7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7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7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7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7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7">
        <f t="shared" si="28"/>
        <v>38831.1</v>
      </c>
      <c r="IQ14" s="875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7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7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7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7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7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7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7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7">
        <f t="shared" si="37"/>
        <v>39223.799999999996</v>
      </c>
      <c r="MB14" s="627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7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0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6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57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7">
        <f t="shared" si="12"/>
        <v>31255.200000000001</v>
      </c>
      <c r="CD15" s="909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7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5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7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5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7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7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7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7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7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7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7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7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7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7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7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7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7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7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7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7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7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7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7">
        <f t="shared" si="37"/>
        <v>38539.200000000004</v>
      </c>
      <c r="MB15" s="627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7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0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6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57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7">
        <f t="shared" si="12"/>
        <v>33490.799999999996</v>
      </c>
      <c r="CD16" s="909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7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5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7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5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7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7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7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7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7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7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7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7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7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7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7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7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7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7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7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7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7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7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7">
        <f t="shared" si="37"/>
        <v>38598</v>
      </c>
      <c r="MB16" s="627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7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0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6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57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7">
        <f t="shared" si="12"/>
        <v>32104.799999999999</v>
      </c>
      <c r="CD17" s="909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7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5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7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5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7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7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7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7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7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7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7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7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7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7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7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7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7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7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7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7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7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7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7">
        <f t="shared" si="37"/>
        <v>39110.400000000001</v>
      </c>
      <c r="MB17" s="627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7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0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6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57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7">
        <f t="shared" si="12"/>
        <v>31237.200000000001</v>
      </c>
      <c r="CD18" s="909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7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5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7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5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7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7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7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7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7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7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7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7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7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7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7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7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7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7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7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7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7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7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7">
        <f t="shared" si="37"/>
        <v>39169.200000000004</v>
      </c>
      <c r="MB18" s="627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7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0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6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57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7">
        <f t="shared" si="12"/>
        <v>32518.799999999999</v>
      </c>
      <c r="CD19" s="909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7">
        <f t="shared" si="13"/>
        <v>33800.400000000001</v>
      </c>
      <c r="CN19" s="673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5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7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5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7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7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7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7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7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7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7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7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7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7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7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7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7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7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7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7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7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7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7">
        <f t="shared" si="37"/>
        <v>39110.400000000001</v>
      </c>
      <c r="MB19" s="627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7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0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6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57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7">
        <f t="shared" si="12"/>
        <v>33606</v>
      </c>
      <c r="CD20" s="909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7">
        <f t="shared" si="13"/>
        <v>31957.200000000001</v>
      </c>
      <c r="CN20" s="673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5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7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5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7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7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7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7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7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7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7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7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7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7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7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7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7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7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7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7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7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7">
        <f t="shared" si="37"/>
        <v>38997</v>
      </c>
      <c r="MB20" s="627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7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0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6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57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7">
        <f t="shared" si="12"/>
        <v>32382</v>
      </c>
      <c r="CD21" s="909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7">
        <f t="shared" si="13"/>
        <v>32738.399999999998</v>
      </c>
      <c r="CN21" s="673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5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7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5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7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7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7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7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7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7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7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7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7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7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7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7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7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7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7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7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7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7">
        <f t="shared" si="37"/>
        <v>36615.599999999999</v>
      </c>
      <c r="MB21" s="627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7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0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6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57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7">
        <f t="shared" si="12"/>
        <v>32968.799999999996</v>
      </c>
      <c r="CD22" s="909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7">
        <f t="shared" si="13"/>
        <v>31402.799999999999</v>
      </c>
      <c r="CN22" s="673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5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7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5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7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7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7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7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7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7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7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7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7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7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7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7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7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7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7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7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7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7">
        <f t="shared" si="37"/>
        <v>38329.200000000004</v>
      </c>
      <c r="MB22" s="627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7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0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6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57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7">
        <f t="shared" si="12"/>
        <v>32925.599999999999</v>
      </c>
      <c r="CD23" s="909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7">
        <f t="shared" si="13"/>
        <v>33865.200000000004</v>
      </c>
      <c r="CN23" s="673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5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7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5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7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7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7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7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7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7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7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7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7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7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7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7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7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7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7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7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7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7">
        <f t="shared" si="37"/>
        <v>38367</v>
      </c>
      <c r="MB23" s="627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7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0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6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57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7">
        <f t="shared" si="12"/>
        <v>31057.200000000001</v>
      </c>
      <c r="CD24" s="909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7">
        <f t="shared" si="13"/>
        <v>32562</v>
      </c>
      <c r="CN24" s="673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5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7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5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7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7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7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7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7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7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7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7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7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7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7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7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7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7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7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7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7">
        <f t="shared" si="37"/>
        <v>37073.4</v>
      </c>
      <c r="MB24" s="627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7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0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6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57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7">
        <f t="shared" si="12"/>
        <v>31204.799999999999</v>
      </c>
      <c r="CD25" s="909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7">
        <f t="shared" si="13"/>
        <v>31726.799999999999</v>
      </c>
      <c r="CN25" s="673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5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7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5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7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7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7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7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7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7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7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7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7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7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7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7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7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7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7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7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7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7">
        <f t="shared" si="37"/>
        <v>38312.400000000001</v>
      </c>
      <c r="MB25" s="627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7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0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6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57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7">
        <f t="shared" si="12"/>
        <v>33703.200000000004</v>
      </c>
      <c r="CD26" s="909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7">
        <f t="shared" si="13"/>
        <v>33296.400000000001</v>
      </c>
      <c r="CN26" s="673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5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7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5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7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7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7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7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7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7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7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7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7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7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7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7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7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7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7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7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7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7">
        <f t="shared" si="37"/>
        <v>38215.799999999996</v>
      </c>
      <c r="MB26" s="627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7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0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6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57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7">
        <f t="shared" si="12"/>
        <v>31089.600000000002</v>
      </c>
      <c r="CD27" s="909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7">
        <f t="shared" si="13"/>
        <v>33343.200000000004</v>
      </c>
      <c r="CN27" s="673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5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7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5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7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7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7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7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7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7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7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7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7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7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7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7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7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7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7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7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7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7">
        <f t="shared" si="37"/>
        <v>38064.6</v>
      </c>
      <c r="MB27" s="627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7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0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57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6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7">
        <f t="shared" si="12"/>
        <v>32713.200000000001</v>
      </c>
      <c r="CD28" s="910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7">
        <f t="shared" si="13"/>
        <v>33098.400000000001</v>
      </c>
      <c r="CN28" s="673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5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7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5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7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7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7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7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7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7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7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7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7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7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7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7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7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7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7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7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7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7">
        <f t="shared" si="37"/>
        <v>39110.400000000001</v>
      </c>
      <c r="MB28" s="627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7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0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6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6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7">
        <v>0</v>
      </c>
      <c r="CD29" s="108"/>
      <c r="CE29" s="15">
        <v>22</v>
      </c>
      <c r="CF29" s="93"/>
      <c r="CG29" s="401"/>
      <c r="CH29" s="93"/>
      <c r="CI29" s="414"/>
      <c r="CJ29" s="403"/>
      <c r="CK29" s="627">
        <f t="shared" si="13"/>
        <v>0</v>
      </c>
      <c r="CN29" s="673"/>
      <c r="CO29" s="15">
        <v>22</v>
      </c>
      <c r="CP29" s="93"/>
      <c r="CQ29" s="401"/>
      <c r="CR29" s="93"/>
      <c r="CS29" s="404"/>
      <c r="CT29" s="403"/>
      <c r="CU29" s="635">
        <f t="shared" si="48"/>
        <v>0</v>
      </c>
      <c r="CX29" s="108"/>
      <c r="CY29" s="15"/>
      <c r="CZ29" s="93"/>
      <c r="DA29" s="341"/>
      <c r="DB29" s="93"/>
      <c r="DC29" s="96"/>
      <c r="DD29" s="72"/>
      <c r="DE29" s="627">
        <f t="shared" si="14"/>
        <v>0</v>
      </c>
      <c r="DH29" s="108"/>
      <c r="DI29" s="15"/>
      <c r="DJ29" s="93"/>
      <c r="DK29" s="341"/>
      <c r="DL29" s="93"/>
      <c r="DM29" s="96"/>
      <c r="DN29" s="72"/>
      <c r="DO29" s="635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7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7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7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7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7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7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7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7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7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7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7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7">
        <f t="shared" si="30"/>
        <v>0</v>
      </c>
      <c r="JL29" s="108"/>
      <c r="JM29" s="15"/>
      <c r="JN29" s="93"/>
      <c r="JO29" s="341"/>
      <c r="JP29" s="93"/>
      <c r="JQ29" s="71"/>
      <c r="JR29" s="72"/>
      <c r="JS29" s="627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7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7">
        <f>SUM(KM8:KM28)</f>
        <v>776991</v>
      </c>
      <c r="KP29" s="108"/>
      <c r="KQ29" s="15"/>
      <c r="KR29" s="70"/>
      <c r="KS29" s="357"/>
      <c r="KT29" s="70"/>
      <c r="KU29" s="71"/>
      <c r="KV29" s="72"/>
      <c r="KW29" s="627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7">
        <f>LF29*LD29</f>
        <v>0</v>
      </c>
      <c r="LJ29" s="108"/>
      <c r="LK29" s="15"/>
      <c r="LL29" s="93"/>
      <c r="LM29" s="341"/>
      <c r="LN29" s="292"/>
      <c r="LO29" s="96"/>
      <c r="LP29" s="72"/>
      <c r="LQ29" s="627">
        <f t="shared" si="36"/>
        <v>0</v>
      </c>
      <c r="LT29" s="108"/>
      <c r="LU29" s="15"/>
      <c r="LV29" s="93"/>
      <c r="LW29" s="341"/>
      <c r="LX29" s="93"/>
      <c r="LY29" s="96"/>
      <c r="LZ29" s="72"/>
      <c r="MA29" s="627">
        <f t="shared" si="37"/>
        <v>0</v>
      </c>
      <c r="MB29" s="627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7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7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7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7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7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7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7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7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5">
        <f t="shared" si="48"/>
        <v>0</v>
      </c>
      <c r="CX30" s="108"/>
      <c r="CY30" s="15"/>
      <c r="CZ30" s="70"/>
      <c r="DA30" s="341"/>
      <c r="DB30" s="70"/>
      <c r="DC30" s="96"/>
      <c r="DD30" s="72"/>
      <c r="DE30" s="627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7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7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7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7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7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7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7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7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5"/>
      <c r="HN30" s="108"/>
      <c r="HO30" s="15"/>
      <c r="HP30" s="93"/>
      <c r="HQ30" s="341"/>
      <c r="HR30" s="107"/>
      <c r="HS30" s="71"/>
      <c r="HT30" s="72"/>
      <c r="HU30" s="627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7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7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7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7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7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7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7">
        <f>SUM(MA8:MA29)</f>
        <v>801255.00000000012</v>
      </c>
      <c r="MB30" s="627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4"/>
      <c r="V31" s="206"/>
      <c r="W31" s="37"/>
      <c r="X31" s="427"/>
      <c r="Y31" s="419"/>
      <c r="Z31" s="231"/>
      <c r="AA31" s="145"/>
      <c r="AB31" s="221"/>
      <c r="AC31" s="634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5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4"/>
      <c r="EL31" s="206"/>
      <c r="EM31" s="37"/>
      <c r="EN31" s="418"/>
      <c r="EO31" s="419"/>
      <c r="EP31" s="231"/>
      <c r="EQ31" s="145"/>
      <c r="ER31" s="221"/>
      <c r="ES31" s="634"/>
      <c r="EV31" s="95"/>
      <c r="EW31" s="37"/>
      <c r="EX31" s="427"/>
      <c r="EY31" s="454"/>
      <c r="EZ31" s="231"/>
      <c r="FA31" s="145"/>
      <c r="FB31" s="221"/>
      <c r="FC31" s="634"/>
      <c r="FF31" s="428"/>
      <c r="FG31" s="37"/>
      <c r="FH31" s="418"/>
      <c r="FI31" s="230"/>
      <c r="FJ31" s="418"/>
      <c r="FK31" s="145"/>
      <c r="FL31" s="221"/>
      <c r="FM31" s="634"/>
      <c r="FP31" s="206"/>
      <c r="FQ31" s="37"/>
      <c r="FR31" s="427"/>
      <c r="FS31" s="419"/>
      <c r="FT31" s="427"/>
      <c r="FU31" s="145"/>
      <c r="FV31" s="221"/>
      <c r="FW31" s="634"/>
      <c r="FZ31" s="206"/>
      <c r="GA31" s="37"/>
      <c r="GB31" s="418"/>
      <c r="GC31" s="419"/>
      <c r="GD31" s="231"/>
      <c r="GE31" s="145"/>
      <c r="GF31" s="221"/>
      <c r="GG31" s="634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7"/>
      <c r="HD31" s="370"/>
      <c r="HE31" s="52"/>
      <c r="HF31" s="429"/>
      <c r="HG31" s="430"/>
      <c r="HH31" s="431"/>
      <c r="HI31" s="432"/>
      <c r="HJ31" s="433"/>
      <c r="HK31" s="637"/>
      <c r="HN31" s="206"/>
      <c r="HO31" s="37"/>
      <c r="HP31" s="427"/>
      <c r="HQ31" s="419"/>
      <c r="HR31" s="231"/>
      <c r="HS31" s="145"/>
      <c r="HT31" s="221"/>
      <c r="HU31" s="634"/>
      <c r="HX31" s="206"/>
      <c r="HY31" s="37"/>
      <c r="HZ31" s="418"/>
      <c r="IA31" s="419"/>
      <c r="IB31" s="231"/>
      <c r="IC31" s="145"/>
      <c r="ID31" s="221"/>
      <c r="IE31" s="634"/>
      <c r="IH31" s="206"/>
      <c r="II31" s="37"/>
      <c r="IJ31" s="418"/>
      <c r="IK31" s="419"/>
      <c r="IL31" s="231"/>
      <c r="IM31" s="145"/>
      <c r="IN31" s="221"/>
      <c r="IO31" s="634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4"/>
      <c r="JL31" s="206"/>
      <c r="JM31" s="37"/>
      <c r="JN31" s="427"/>
      <c r="JO31" s="419"/>
      <c r="JP31" s="231"/>
      <c r="JQ31" s="145"/>
      <c r="JR31" s="221"/>
      <c r="JS31" s="634"/>
      <c r="JV31" s="206"/>
      <c r="JW31" s="37"/>
      <c r="JX31" s="418"/>
      <c r="JY31" s="419"/>
      <c r="JZ31" s="231"/>
      <c r="KA31" s="145"/>
      <c r="KB31" s="221"/>
      <c r="KC31" s="634"/>
      <c r="KF31" s="206"/>
      <c r="KG31" s="37"/>
      <c r="KH31" s="418"/>
      <c r="KI31" s="419"/>
      <c r="KJ31" s="231"/>
      <c r="KK31" s="145"/>
      <c r="KL31" s="221"/>
      <c r="KM31" s="634"/>
      <c r="KP31" s="206"/>
      <c r="KQ31" s="37"/>
      <c r="KR31" s="418"/>
      <c r="KS31" s="419"/>
      <c r="KT31" s="231"/>
      <c r="KU31" s="145"/>
      <c r="KV31" s="221"/>
      <c r="KW31" s="634"/>
      <c r="KZ31" s="206"/>
      <c r="LA31" s="423"/>
      <c r="LB31" s="418"/>
      <c r="LC31" s="230"/>
      <c r="LD31" s="418"/>
      <c r="LE31" s="434"/>
      <c r="LF31" s="221"/>
      <c r="LG31" s="634"/>
      <c r="LJ31" s="206"/>
      <c r="LK31" s="37"/>
      <c r="LL31" s="427"/>
      <c r="LM31" s="419"/>
      <c r="LN31" s="427"/>
      <c r="LO31" s="434"/>
      <c r="LP31" s="221"/>
      <c r="LQ31" s="634"/>
      <c r="LT31" s="206"/>
      <c r="LU31" s="37"/>
      <c r="LV31" s="231"/>
      <c r="LW31" s="230"/>
      <c r="LX31" s="418"/>
      <c r="LY31" s="434"/>
      <c r="LZ31" s="435"/>
      <c r="MA31" s="634"/>
      <c r="MB31" s="634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0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0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0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7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7"/>
      <c r="MB32" s="627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2" t="s">
        <v>21</v>
      </c>
      <c r="O33" s="963"/>
      <c r="P33" s="147">
        <f>Q5-P32</f>
        <v>0</v>
      </c>
      <c r="S33" s="627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2" t="s">
        <v>21</v>
      </c>
      <c r="IA33" s="803"/>
      <c r="IB33" s="319">
        <f>IC5-IB32</f>
        <v>0</v>
      </c>
      <c r="IC33" s="255"/>
      <c r="IJ33" s="802" t="s">
        <v>21</v>
      </c>
      <c r="IK33" s="803"/>
      <c r="IL33" s="147">
        <f>IJ32-IL32</f>
        <v>0</v>
      </c>
      <c r="IT33" s="802" t="s">
        <v>21</v>
      </c>
      <c r="IU33" s="803"/>
      <c r="IV33" s="147">
        <f>IT32-IV32</f>
        <v>0</v>
      </c>
      <c r="JD33" s="802" t="s">
        <v>21</v>
      </c>
      <c r="JE33" s="803"/>
      <c r="JF33" s="147">
        <f>JD32-JF32</f>
        <v>0</v>
      </c>
      <c r="JN33" s="802" t="s">
        <v>21</v>
      </c>
      <c r="JO33" s="803"/>
      <c r="JP33" s="147">
        <f>JN32-JP32</f>
        <v>0</v>
      </c>
      <c r="JX33" s="802" t="s">
        <v>21</v>
      </c>
      <c r="JY33" s="803"/>
      <c r="JZ33" s="319">
        <f>KA5-JZ32</f>
        <v>0</v>
      </c>
      <c r="KA33" s="255"/>
      <c r="KH33" s="802" t="s">
        <v>21</v>
      </c>
      <c r="KI33" s="803"/>
      <c r="KJ33" s="319">
        <f>KK5-KJ32</f>
        <v>0</v>
      </c>
      <c r="KK33" s="255"/>
      <c r="KR33" s="802" t="s">
        <v>21</v>
      </c>
      <c r="KS33" s="803"/>
      <c r="KT33" s="319">
        <f>KU5-KT32</f>
        <v>0</v>
      </c>
      <c r="KU33" s="255"/>
      <c r="LB33" s="651" t="s">
        <v>21</v>
      </c>
      <c r="LC33" s="652"/>
      <c r="LD33" s="245">
        <f>LE5-LD32</f>
        <v>0</v>
      </c>
      <c r="LL33" s="651" t="s">
        <v>21</v>
      </c>
      <c r="LM33" s="652"/>
      <c r="LN33" s="147">
        <f>LO5-LN32</f>
        <v>0</v>
      </c>
      <c r="MA33" s="627"/>
      <c r="MB33" s="627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46" t="s">
        <v>21</v>
      </c>
      <c r="NA33" s="1047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77" t="s">
        <v>21</v>
      </c>
      <c r="RU33" s="1178"/>
      <c r="RV33" s="147">
        <f>SUM(RW5-RV32)</f>
        <v>0</v>
      </c>
      <c r="SC33" s="1177" t="s">
        <v>21</v>
      </c>
      <c r="SD33" s="1178"/>
      <c r="SE33" s="147">
        <f>SUM(SF5-SE32)</f>
        <v>0</v>
      </c>
      <c r="SL33" s="1177" t="s">
        <v>21</v>
      </c>
      <c r="SM33" s="1178"/>
      <c r="SN33" s="245">
        <f>SUM(SO5-SN32)</f>
        <v>0</v>
      </c>
      <c r="SU33" s="1177" t="s">
        <v>21</v>
      </c>
      <c r="SV33" s="1178"/>
      <c r="SW33" s="147">
        <f>SUM(SX5-SW32)</f>
        <v>0</v>
      </c>
      <c r="TD33" s="1177" t="s">
        <v>21</v>
      </c>
      <c r="TE33" s="1178"/>
      <c r="TF33" s="147">
        <f>SUM(TG5-TF32)</f>
        <v>0</v>
      </c>
      <c r="TM33" s="1177" t="s">
        <v>21</v>
      </c>
      <c r="TN33" s="1178"/>
      <c r="TO33" s="147">
        <f>SUM(TP5-TO32)</f>
        <v>0</v>
      </c>
      <c r="TV33" s="1177" t="s">
        <v>21</v>
      </c>
      <c r="TW33" s="1178"/>
      <c r="TX33" s="147">
        <f>SUM(TY5-TX32)</f>
        <v>0</v>
      </c>
      <c r="UE33" s="1177" t="s">
        <v>21</v>
      </c>
      <c r="UF33" s="1178"/>
      <c r="UG33" s="147">
        <f>SUM(UH5-UG32)</f>
        <v>0</v>
      </c>
      <c r="UN33" s="1177" t="s">
        <v>21</v>
      </c>
      <c r="UO33" s="1178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77" t="s">
        <v>21</v>
      </c>
      <c r="VP33" s="1178"/>
      <c r="VQ33" s="147">
        <f>VR5-VQ32</f>
        <v>-22</v>
      </c>
      <c r="VX33" s="1177" t="s">
        <v>21</v>
      </c>
      <c r="VY33" s="1178"/>
      <c r="VZ33" s="147">
        <f>WA5-VZ32</f>
        <v>-22</v>
      </c>
      <c r="WG33" s="1177" t="s">
        <v>21</v>
      </c>
      <c r="WH33" s="1178"/>
      <c r="WI33" s="147">
        <f>WJ5-WI32</f>
        <v>-22</v>
      </c>
      <c r="WP33" s="1177" t="s">
        <v>21</v>
      </c>
      <c r="WQ33" s="1178"/>
      <c r="WR33" s="147">
        <f>WS5-WR32</f>
        <v>-22</v>
      </c>
      <c r="WY33" s="1177" t="s">
        <v>21</v>
      </c>
      <c r="WZ33" s="1178"/>
      <c r="XA33" s="147">
        <f>XB5-XA32</f>
        <v>-22</v>
      </c>
      <c r="XH33" s="1177" t="s">
        <v>21</v>
      </c>
      <c r="XI33" s="1178"/>
      <c r="XJ33" s="147">
        <f>XK5-XJ32</f>
        <v>-22</v>
      </c>
      <c r="XQ33" s="1177" t="s">
        <v>21</v>
      </c>
      <c r="XR33" s="1178"/>
      <c r="XS33" s="147">
        <f>XT5-XS32</f>
        <v>-22</v>
      </c>
      <c r="XZ33" s="1177" t="s">
        <v>21</v>
      </c>
      <c r="YA33" s="1178"/>
      <c r="YB33" s="147">
        <f>YC5-YB32</f>
        <v>-22</v>
      </c>
      <c r="YI33" s="1177" t="s">
        <v>21</v>
      </c>
      <c r="YJ33" s="1178"/>
      <c r="YK33" s="147">
        <f>YL5-YK32</f>
        <v>-22</v>
      </c>
      <c r="YR33" s="1177" t="s">
        <v>21</v>
      </c>
      <c r="YS33" s="1178"/>
      <c r="YT33" s="147">
        <f>YU5-YT32</f>
        <v>-22</v>
      </c>
      <c r="ZA33" s="1177" t="s">
        <v>21</v>
      </c>
      <c r="ZB33" s="1178"/>
      <c r="ZC33" s="147">
        <f>ZD5-ZC32</f>
        <v>-22</v>
      </c>
      <c r="ZJ33" s="1177" t="s">
        <v>21</v>
      </c>
      <c r="ZK33" s="1178"/>
      <c r="ZL33" s="147">
        <f>ZM5-ZL32</f>
        <v>-22</v>
      </c>
      <c r="ZS33" s="1177" t="s">
        <v>21</v>
      </c>
      <c r="ZT33" s="1178"/>
      <c r="ZU33" s="147">
        <f>ZV5-ZU32</f>
        <v>-22</v>
      </c>
      <c r="AAB33" s="1177" t="s">
        <v>21</v>
      </c>
      <c r="AAC33" s="1178"/>
      <c r="AAD33" s="147">
        <f>AAE5-AAD32</f>
        <v>-22</v>
      </c>
      <c r="AAK33" s="1177" t="s">
        <v>21</v>
      </c>
      <c r="AAL33" s="1178"/>
      <c r="AAM33" s="147">
        <f>AAN5-AAM32</f>
        <v>-22</v>
      </c>
      <c r="AAT33" s="1177" t="s">
        <v>21</v>
      </c>
      <c r="AAU33" s="1178"/>
      <c r="AAV33" s="147">
        <f>AAV32-AAT32</f>
        <v>22</v>
      </c>
      <c r="ABC33" s="1177" t="s">
        <v>21</v>
      </c>
      <c r="ABD33" s="1178"/>
      <c r="ABE33" s="147">
        <f>ABF5-ABE32</f>
        <v>-22</v>
      </c>
      <c r="ABL33" s="1177" t="s">
        <v>21</v>
      </c>
      <c r="ABM33" s="1178"/>
      <c r="ABN33" s="147">
        <f>ABO5-ABN32</f>
        <v>-22</v>
      </c>
      <c r="ABU33" s="1177" t="s">
        <v>21</v>
      </c>
      <c r="ABV33" s="1178"/>
      <c r="ABW33" s="147">
        <f>ABX5-ABW32</f>
        <v>-22</v>
      </c>
      <c r="ACD33" s="1177" t="s">
        <v>21</v>
      </c>
      <c r="ACE33" s="1178"/>
      <c r="ACF33" s="147">
        <f>ACG5-ACF32</f>
        <v>-22</v>
      </c>
      <c r="ACM33" s="1177" t="s">
        <v>21</v>
      </c>
      <c r="ACN33" s="1178"/>
      <c r="ACO33" s="147">
        <f>ACP5-ACO32</f>
        <v>-22</v>
      </c>
      <c r="ACV33" s="1177" t="s">
        <v>21</v>
      </c>
      <c r="ACW33" s="1178"/>
      <c r="ACX33" s="147">
        <f>ACY5-ACX32</f>
        <v>-22</v>
      </c>
      <c r="ADE33" s="1177" t="s">
        <v>21</v>
      </c>
      <c r="ADF33" s="1178"/>
      <c r="ADG33" s="147">
        <f>ADH5-ADG32</f>
        <v>-22</v>
      </c>
      <c r="ADN33" s="1177" t="s">
        <v>21</v>
      </c>
      <c r="ADO33" s="1178"/>
      <c r="ADP33" s="147">
        <f>ADQ5-ADP32</f>
        <v>-22</v>
      </c>
      <c r="ADW33" s="1177" t="s">
        <v>21</v>
      </c>
      <c r="ADX33" s="1178"/>
      <c r="ADY33" s="147">
        <f>ADZ5-ADY32</f>
        <v>-22</v>
      </c>
      <c r="AEF33" s="1177" t="s">
        <v>21</v>
      </c>
      <c r="AEG33" s="1178"/>
      <c r="AEH33" s="147">
        <f>AEI5-AEH32</f>
        <v>-22</v>
      </c>
      <c r="AEO33" s="1177" t="s">
        <v>21</v>
      </c>
      <c r="AEP33" s="1178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4" t="s">
        <v>4</v>
      </c>
      <c r="O34" s="965"/>
      <c r="P34" s="49"/>
      <c r="S34" s="627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4" t="s">
        <v>4</v>
      </c>
      <c r="IA34" s="805"/>
      <c r="IB34" s="49"/>
      <c r="IJ34" s="804" t="s">
        <v>4</v>
      </c>
      <c r="IK34" s="805"/>
      <c r="IL34" s="49"/>
      <c r="IT34" s="804" t="s">
        <v>4</v>
      </c>
      <c r="IU34" s="805"/>
      <c r="IV34" s="49"/>
      <c r="JD34" s="804" t="s">
        <v>4</v>
      </c>
      <c r="JE34" s="805"/>
      <c r="JF34" s="49"/>
      <c r="JN34" s="804" t="s">
        <v>4</v>
      </c>
      <c r="JO34" s="805"/>
      <c r="JP34" s="49">
        <v>0</v>
      </c>
      <c r="JX34" s="804" t="s">
        <v>4</v>
      </c>
      <c r="JY34" s="805"/>
      <c r="JZ34" s="49"/>
      <c r="KH34" s="804" t="s">
        <v>4</v>
      </c>
      <c r="KI34" s="805"/>
      <c r="KJ34" s="49"/>
      <c r="KR34" s="804" t="s">
        <v>4</v>
      </c>
      <c r="KS34" s="805"/>
      <c r="KT34" s="49"/>
      <c r="LB34" s="653" t="s">
        <v>4</v>
      </c>
      <c r="LC34" s="654"/>
      <c r="LD34" s="49"/>
      <c r="LL34" s="653" t="s">
        <v>4</v>
      </c>
      <c r="LM34" s="654"/>
      <c r="LN34" s="49"/>
      <c r="LV34" s="651" t="s">
        <v>21</v>
      </c>
      <c r="LW34" s="652"/>
      <c r="LX34" s="147">
        <f>LY5-LX32</f>
        <v>0</v>
      </c>
      <c r="MA34" s="627"/>
      <c r="MB34" s="627"/>
      <c r="MF34" s="370" t="s">
        <v>4</v>
      </c>
      <c r="MG34" s="371"/>
      <c r="MH34" s="49"/>
      <c r="MP34" s="370" t="s">
        <v>4</v>
      </c>
      <c r="MQ34" s="371"/>
      <c r="MR34" s="49"/>
      <c r="MZ34" s="1048" t="s">
        <v>4</v>
      </c>
      <c r="NA34" s="1049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79" t="s">
        <v>4</v>
      </c>
      <c r="RU34" s="1180"/>
      <c r="RV34" s="49"/>
      <c r="SC34" s="1179" t="s">
        <v>4</v>
      </c>
      <c r="SD34" s="1180"/>
      <c r="SE34" s="49"/>
      <c r="SL34" s="1179" t="s">
        <v>4</v>
      </c>
      <c r="SM34" s="1180"/>
      <c r="SN34" s="49"/>
      <c r="SU34" s="1179" t="s">
        <v>4</v>
      </c>
      <c r="SV34" s="1180"/>
      <c r="SW34" s="49"/>
      <c r="TD34" s="1179" t="s">
        <v>4</v>
      </c>
      <c r="TE34" s="1180"/>
      <c r="TF34" s="49"/>
      <c r="TM34" s="1179" t="s">
        <v>4</v>
      </c>
      <c r="TN34" s="1180"/>
      <c r="TO34" s="49"/>
      <c r="TV34" s="1179" t="s">
        <v>4</v>
      </c>
      <c r="TW34" s="1180"/>
      <c r="TX34" s="49"/>
      <c r="UE34" s="1179" t="s">
        <v>4</v>
      </c>
      <c r="UF34" s="1180"/>
      <c r="UG34" s="49"/>
      <c r="UN34" s="1179" t="s">
        <v>4</v>
      </c>
      <c r="UO34" s="1180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79" t="s">
        <v>4</v>
      </c>
      <c r="VP34" s="1180"/>
      <c r="VQ34" s="49"/>
      <c r="VX34" s="1179" t="s">
        <v>4</v>
      </c>
      <c r="VY34" s="1180"/>
      <c r="VZ34" s="49"/>
      <c r="WG34" s="1179" t="s">
        <v>4</v>
      </c>
      <c r="WH34" s="1180"/>
      <c r="WI34" s="49"/>
      <c r="WP34" s="1179" t="s">
        <v>4</v>
      </c>
      <c r="WQ34" s="1180"/>
      <c r="WR34" s="49"/>
      <c r="WY34" s="1179" t="s">
        <v>4</v>
      </c>
      <c r="WZ34" s="1180"/>
      <c r="XA34" s="49"/>
      <c r="XH34" s="1179" t="s">
        <v>4</v>
      </c>
      <c r="XI34" s="1180"/>
      <c r="XJ34" s="49"/>
      <c r="XQ34" s="1179" t="s">
        <v>4</v>
      </c>
      <c r="XR34" s="1180"/>
      <c r="XS34" s="49"/>
      <c r="XZ34" s="1179" t="s">
        <v>4</v>
      </c>
      <c r="YA34" s="1180"/>
      <c r="YB34" s="49"/>
      <c r="YI34" s="1179" t="s">
        <v>4</v>
      </c>
      <c r="YJ34" s="1180"/>
      <c r="YK34" s="49"/>
      <c r="YR34" s="1179" t="s">
        <v>4</v>
      </c>
      <c r="YS34" s="1180"/>
      <c r="YT34" s="49"/>
      <c r="ZA34" s="1179" t="s">
        <v>4</v>
      </c>
      <c r="ZB34" s="1180"/>
      <c r="ZC34" s="49"/>
      <c r="ZJ34" s="1179" t="s">
        <v>4</v>
      </c>
      <c r="ZK34" s="1180"/>
      <c r="ZL34" s="49"/>
      <c r="ZS34" s="1179" t="s">
        <v>4</v>
      </c>
      <c r="ZT34" s="1180"/>
      <c r="ZU34" s="49"/>
      <c r="AAB34" s="1179" t="s">
        <v>4</v>
      </c>
      <c r="AAC34" s="1180"/>
      <c r="AAD34" s="49"/>
      <c r="AAK34" s="1179" t="s">
        <v>4</v>
      </c>
      <c r="AAL34" s="1180"/>
      <c r="AAM34" s="49"/>
      <c r="AAT34" s="1179" t="s">
        <v>4</v>
      </c>
      <c r="AAU34" s="1180"/>
      <c r="AAV34" s="49"/>
      <c r="ABC34" s="1179" t="s">
        <v>4</v>
      </c>
      <c r="ABD34" s="1180"/>
      <c r="ABE34" s="49"/>
      <c r="ABL34" s="1179" t="s">
        <v>4</v>
      </c>
      <c r="ABM34" s="1180"/>
      <c r="ABN34" s="49"/>
      <c r="ABU34" s="1179" t="s">
        <v>4</v>
      </c>
      <c r="ABV34" s="1180"/>
      <c r="ABW34" s="49"/>
      <c r="ACD34" s="1179" t="s">
        <v>4</v>
      </c>
      <c r="ACE34" s="1180"/>
      <c r="ACF34" s="49"/>
      <c r="ACM34" s="1179" t="s">
        <v>4</v>
      </c>
      <c r="ACN34" s="1180"/>
      <c r="ACO34" s="49"/>
      <c r="ACV34" s="1179" t="s">
        <v>4</v>
      </c>
      <c r="ACW34" s="1180"/>
      <c r="ACX34" s="49"/>
      <c r="ADE34" s="1179" t="s">
        <v>4</v>
      </c>
      <c r="ADF34" s="1180"/>
      <c r="ADG34" s="49"/>
      <c r="ADN34" s="1179" t="s">
        <v>4</v>
      </c>
      <c r="ADO34" s="1180"/>
      <c r="ADP34" s="49"/>
      <c r="ADW34" s="1179" t="s">
        <v>4</v>
      </c>
      <c r="ADX34" s="1180"/>
      <c r="ADY34" s="49"/>
      <c r="AEF34" s="1179" t="s">
        <v>4</v>
      </c>
      <c r="AEG34" s="1180"/>
      <c r="AEH34" s="49"/>
      <c r="AEO34" s="1179" t="s">
        <v>4</v>
      </c>
      <c r="AEP34" s="1180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7"/>
      <c r="AZ35" s="76"/>
      <c r="LV35" s="653" t="s">
        <v>4</v>
      </c>
      <c r="LW35" s="654"/>
      <c r="LX35" s="49"/>
      <c r="MA35" s="627"/>
      <c r="MB35" s="627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7"/>
      <c r="AZ36" s="76"/>
      <c r="MA36" s="627"/>
      <c r="MB36" s="627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7"/>
      <c r="AZ37" s="76"/>
      <c r="MA37" s="627"/>
      <c r="MB37" s="627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7"/>
      <c r="MB38" s="627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7"/>
      <c r="MB39" s="627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7"/>
      <c r="MB40" s="627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7"/>
      <c r="MB41" s="627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7"/>
      <c r="MB42" s="627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7"/>
      <c r="MB43" s="627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7"/>
      <c r="MB44" s="627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1" t="s">
        <v>246</v>
      </c>
      <c r="B1" s="1181"/>
      <c r="C1" s="1181"/>
      <c r="D1" s="1181"/>
      <c r="E1" s="1181"/>
      <c r="F1" s="1181"/>
      <c r="G1" s="118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215"/>
      <c r="C4" s="494"/>
      <c r="D4" s="275"/>
      <c r="E4" s="358"/>
      <c r="F4" s="328"/>
      <c r="G4" s="253"/>
    </row>
    <row r="5" spans="1:10" ht="15" customHeight="1" x14ac:dyDescent="0.25">
      <c r="A5" s="1209"/>
      <c r="B5" s="1216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210"/>
      <c r="B6" s="1217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1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1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36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36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37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1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1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1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6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3" t="s">
        <v>11</v>
      </c>
      <c r="D55" s="1214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1" t="s">
        <v>257</v>
      </c>
      <c r="B1" s="1191"/>
      <c r="C1" s="1191"/>
      <c r="D1" s="1191"/>
      <c r="E1" s="1191"/>
      <c r="F1" s="1191"/>
      <c r="G1" s="1191"/>
      <c r="H1" s="11">
        <v>1</v>
      </c>
      <c r="I1" s="136"/>
      <c r="J1" s="74"/>
      <c r="M1" s="1191" t="str">
        <f>A1</f>
        <v>INVENTARIO DE NOVIEMBRE  2021</v>
      </c>
      <c r="N1" s="1191"/>
      <c r="O1" s="1191"/>
      <c r="P1" s="1191"/>
      <c r="Q1" s="1191"/>
      <c r="R1" s="1191"/>
      <c r="S1" s="1191"/>
      <c r="T1" s="11">
        <v>2</v>
      </c>
      <c r="U1" s="136"/>
      <c r="V1" s="74"/>
      <c r="Y1" s="1195" t="s">
        <v>265</v>
      </c>
      <c r="Z1" s="1195"/>
      <c r="AA1" s="1195"/>
      <c r="AB1" s="1195"/>
      <c r="AC1" s="1195"/>
      <c r="AD1" s="1195"/>
      <c r="AE1" s="119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18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18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18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18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18"/>
      <c r="O6" s="222"/>
      <c r="P6" s="160"/>
      <c r="Q6" s="107">
        <v>22.71</v>
      </c>
      <c r="R6" s="74">
        <v>5</v>
      </c>
      <c r="U6" s="214"/>
      <c r="V6" s="74"/>
      <c r="Z6" s="1218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6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6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6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5">
        <f t="shared" si="0"/>
        <v>13.620000000000001</v>
      </c>
      <c r="E36" s="995">
        <v>44535</v>
      </c>
      <c r="F36" s="705">
        <f t="shared" si="15"/>
        <v>13.620000000000001</v>
      </c>
      <c r="G36" s="706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5">
        <f t="shared" si="0"/>
        <v>136.19999999999999</v>
      </c>
      <c r="E37" s="995">
        <v>44537</v>
      </c>
      <c r="F37" s="705">
        <f t="shared" si="15"/>
        <v>136.19999999999999</v>
      </c>
      <c r="G37" s="706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5">
        <f t="shared" si="0"/>
        <v>0</v>
      </c>
      <c r="E38" s="996"/>
      <c r="F38" s="705">
        <f t="shared" si="15"/>
        <v>0</v>
      </c>
      <c r="G38" s="706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5">
        <f t="shared" si="0"/>
        <v>0</v>
      </c>
      <c r="E39" s="996"/>
      <c r="F39" s="705">
        <f t="shared" si="15"/>
        <v>0</v>
      </c>
      <c r="G39" s="706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5">
        <f t="shared" si="0"/>
        <v>22.7</v>
      </c>
      <c r="E40" s="996"/>
      <c r="F40" s="705">
        <f t="shared" si="15"/>
        <v>22.7</v>
      </c>
      <c r="G40" s="1069"/>
      <c r="H40" s="1070"/>
      <c r="I40" s="1071">
        <f t="shared" si="9"/>
        <v>6.9999999998806572E-3</v>
      </c>
      <c r="J40" s="1072">
        <f t="shared" si="10"/>
        <v>0</v>
      </c>
      <c r="K40" s="1078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5">
        <f t="shared" si="0"/>
        <v>0</v>
      </c>
      <c r="E41" s="996"/>
      <c r="F41" s="705">
        <f t="shared" si="15"/>
        <v>0</v>
      </c>
      <c r="G41" s="1069"/>
      <c r="H41" s="1070"/>
      <c r="I41" s="1071">
        <f t="shared" si="9"/>
        <v>6.9999999998806572E-3</v>
      </c>
      <c r="J41" s="1072">
        <f t="shared" si="10"/>
        <v>0</v>
      </c>
      <c r="K41" s="1078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5">
        <f t="shared" si="0"/>
        <v>0</v>
      </c>
      <c r="E42" s="996"/>
      <c r="F42" s="705">
        <f t="shared" si="15"/>
        <v>0</v>
      </c>
      <c r="G42" s="1069"/>
      <c r="H42" s="1070"/>
      <c r="I42" s="1071">
        <f t="shared" si="9"/>
        <v>6.9999999998806572E-3</v>
      </c>
      <c r="J42" s="1072">
        <f t="shared" si="10"/>
        <v>0</v>
      </c>
      <c r="K42" s="1078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5">
        <f t="shared" si="0"/>
        <v>0</v>
      </c>
      <c r="E43" s="996"/>
      <c r="F43" s="705">
        <f t="shared" si="15"/>
        <v>0</v>
      </c>
      <c r="G43" s="1069"/>
      <c r="H43" s="1070"/>
      <c r="I43" s="1071">
        <f t="shared" si="9"/>
        <v>6.9999999998806572E-3</v>
      </c>
      <c r="J43" s="1072">
        <f t="shared" si="10"/>
        <v>0</v>
      </c>
      <c r="K43" s="1078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5">
        <f t="shared" si="0"/>
        <v>0</v>
      </c>
      <c r="E44" s="996"/>
      <c r="F44" s="705">
        <f t="shared" si="15"/>
        <v>0</v>
      </c>
      <c r="G44" s="1069"/>
      <c r="H44" s="1070"/>
      <c r="I44" s="1071">
        <f t="shared" si="9"/>
        <v>6.9999999998806572E-3</v>
      </c>
      <c r="J44" s="1072">
        <f t="shared" si="10"/>
        <v>0</v>
      </c>
      <c r="K44" s="1078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5">
        <f t="shared" si="0"/>
        <v>0</v>
      </c>
      <c r="E45" s="996"/>
      <c r="F45" s="705">
        <f t="shared" si="15"/>
        <v>0</v>
      </c>
      <c r="G45" s="1069"/>
      <c r="H45" s="1070"/>
      <c r="I45" s="1071">
        <f t="shared" si="9"/>
        <v>6.9999999998806572E-3</v>
      </c>
      <c r="J45" s="1072">
        <f t="shared" si="10"/>
        <v>0</v>
      </c>
      <c r="K45" s="1078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5">
        <f t="shared" si="0"/>
        <v>0</v>
      </c>
      <c r="E46" s="996"/>
      <c r="F46" s="705">
        <f t="shared" si="15"/>
        <v>0</v>
      </c>
      <c r="G46" s="706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5">
        <f t="shared" si="0"/>
        <v>0</v>
      </c>
      <c r="E47" s="996"/>
      <c r="F47" s="705">
        <f t="shared" si="15"/>
        <v>0</v>
      </c>
      <c r="G47" s="706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5">
        <f t="shared" si="0"/>
        <v>0</v>
      </c>
      <c r="E48" s="996"/>
      <c r="F48" s="705">
        <f t="shared" si="15"/>
        <v>0</v>
      </c>
      <c r="G48" s="706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5">
        <f t="shared" si="0"/>
        <v>0</v>
      </c>
      <c r="E49" s="996"/>
      <c r="F49" s="705">
        <f t="shared" si="15"/>
        <v>0</v>
      </c>
      <c r="G49" s="706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5">
        <f t="shared" si="0"/>
        <v>0</v>
      </c>
      <c r="E50" s="996"/>
      <c r="F50" s="705">
        <f t="shared" si="15"/>
        <v>0</v>
      </c>
      <c r="G50" s="706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5">
        <f t="shared" si="0"/>
        <v>0</v>
      </c>
      <c r="E51" s="996"/>
      <c r="F51" s="705">
        <f t="shared" si="15"/>
        <v>0</v>
      </c>
      <c r="G51" s="706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19" t="s">
        <v>19</v>
      </c>
      <c r="D73" s="1220"/>
      <c r="E73" s="39">
        <f>E4+E5-F70+E6+E7</f>
        <v>7.0000000003602736E-3</v>
      </c>
      <c r="F73" s="6"/>
      <c r="G73" s="6"/>
      <c r="H73" s="17"/>
      <c r="I73" s="136"/>
      <c r="J73" s="74"/>
      <c r="O73" s="1219" t="s">
        <v>19</v>
      </c>
      <c r="P73" s="1220"/>
      <c r="Q73" s="39">
        <f>Q4+Q5-R70+Q6+Q7</f>
        <v>272.41000000000025</v>
      </c>
      <c r="R73" s="6"/>
      <c r="S73" s="6"/>
      <c r="T73" s="17"/>
      <c r="U73" s="136"/>
      <c r="V73" s="74"/>
      <c r="AA73" s="1219" t="s">
        <v>19</v>
      </c>
      <c r="AB73" s="1220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21" t="s">
        <v>19</v>
      </c>
      <c r="J7" s="122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2"/>
      <c r="J8" s="1224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9" t="s">
        <v>19</v>
      </c>
      <c r="D64" s="122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1" t="s">
        <v>254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DEL MES DE NOVIEMBRE 2021</v>
      </c>
      <c r="L1" s="1191"/>
      <c r="M1" s="1191"/>
      <c r="N1" s="1191"/>
      <c r="O1" s="1191"/>
      <c r="P1" s="1191"/>
      <c r="Q1" s="1191"/>
      <c r="R1" s="11">
        <v>2</v>
      </c>
      <c r="U1" s="1195" t="s">
        <v>246</v>
      </c>
      <c r="V1" s="1195"/>
      <c r="W1" s="1195"/>
      <c r="X1" s="1195"/>
      <c r="Y1" s="1195"/>
      <c r="Z1" s="1195"/>
      <c r="AA1" s="1195"/>
      <c r="AB1" s="11">
        <v>3</v>
      </c>
      <c r="AE1" s="1195" t="str">
        <f>U1</f>
        <v>ENTRADA DEL MES DE DICIEMBRE 2021</v>
      </c>
      <c r="AF1" s="1195"/>
      <c r="AG1" s="1195"/>
      <c r="AH1" s="1195"/>
      <c r="AI1" s="1195"/>
      <c r="AJ1" s="1195"/>
      <c r="AK1" s="11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25" t="s">
        <v>120</v>
      </c>
      <c r="C5" s="688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27" t="s">
        <v>121</v>
      </c>
      <c r="M5" s="688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211" t="s">
        <v>120</v>
      </c>
      <c r="W5" s="688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27" t="s">
        <v>121</v>
      </c>
      <c r="AG5" s="688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26"/>
      <c r="C6" s="624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27"/>
      <c r="M6" s="624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212"/>
      <c r="W6" s="624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27"/>
      <c r="AG6" s="624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3">
        <v>10</v>
      </c>
      <c r="O11" s="984">
        <v>44540</v>
      </c>
      <c r="P11" s="983">
        <f t="shared" si="2"/>
        <v>10</v>
      </c>
      <c r="Q11" s="687" t="s">
        <v>500</v>
      </c>
      <c r="R11" s="985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3">
        <v>10</v>
      </c>
      <c r="E12" s="984">
        <v>44537</v>
      </c>
      <c r="F12" s="983">
        <f t="shared" si="8"/>
        <v>10</v>
      </c>
      <c r="G12" s="687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3">
        <v>50</v>
      </c>
      <c r="O12" s="984">
        <v>44540</v>
      </c>
      <c r="P12" s="983">
        <f t="shared" si="2"/>
        <v>50</v>
      </c>
      <c r="Q12" s="687" t="s">
        <v>493</v>
      </c>
      <c r="R12" s="985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3">
        <v>10</v>
      </c>
      <c r="E13" s="984">
        <v>44540</v>
      </c>
      <c r="F13" s="983">
        <f t="shared" si="8"/>
        <v>10</v>
      </c>
      <c r="G13" s="687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3">
        <v>10</v>
      </c>
      <c r="O13" s="984">
        <v>44543</v>
      </c>
      <c r="P13" s="983">
        <f t="shared" si="2"/>
        <v>10</v>
      </c>
      <c r="Q13" s="687" t="s">
        <v>462</v>
      </c>
      <c r="R13" s="985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3">
        <v>10</v>
      </c>
      <c r="E14" s="984">
        <v>44540</v>
      </c>
      <c r="F14" s="983">
        <f t="shared" si="8"/>
        <v>10</v>
      </c>
      <c r="G14" s="687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3">
        <v>10</v>
      </c>
      <c r="O14" s="984">
        <v>44543</v>
      </c>
      <c r="P14" s="983">
        <f t="shared" si="2"/>
        <v>10</v>
      </c>
      <c r="Q14" s="687" t="s">
        <v>514</v>
      </c>
      <c r="R14" s="985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3"/>
      <c r="E15" s="984"/>
      <c r="F15" s="1079">
        <f t="shared" si="8"/>
        <v>0</v>
      </c>
      <c r="G15" s="1069"/>
      <c r="H15" s="1080"/>
      <c r="I15" s="1081">
        <f t="shared" si="9"/>
        <v>0</v>
      </c>
      <c r="K15" s="74"/>
      <c r="L15" s="84">
        <f t="shared" si="1"/>
        <v>0</v>
      </c>
      <c r="M15" s="74"/>
      <c r="N15" s="983"/>
      <c r="O15" s="984"/>
      <c r="P15" s="983">
        <f t="shared" si="2"/>
        <v>0</v>
      </c>
      <c r="Q15" s="1087"/>
      <c r="R15" s="1088"/>
      <c r="S15" s="1089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3"/>
      <c r="E16" s="984"/>
      <c r="F16" s="1079">
        <f t="shared" si="8"/>
        <v>0</v>
      </c>
      <c r="G16" s="1069"/>
      <c r="H16" s="1080"/>
      <c r="I16" s="1081">
        <f t="shared" si="9"/>
        <v>0</v>
      </c>
      <c r="L16" s="84">
        <f t="shared" si="1"/>
        <v>0</v>
      </c>
      <c r="M16" s="74"/>
      <c r="N16" s="983"/>
      <c r="O16" s="984"/>
      <c r="P16" s="983">
        <f t="shared" si="2"/>
        <v>0</v>
      </c>
      <c r="Q16" s="1087"/>
      <c r="R16" s="1088"/>
      <c r="S16" s="1089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3"/>
      <c r="E17" s="984"/>
      <c r="F17" s="1079">
        <f t="shared" si="8"/>
        <v>0</v>
      </c>
      <c r="G17" s="1069"/>
      <c r="H17" s="1080"/>
      <c r="I17" s="1081">
        <f t="shared" si="9"/>
        <v>0</v>
      </c>
      <c r="L17" s="84">
        <f t="shared" si="1"/>
        <v>0</v>
      </c>
      <c r="M17" s="74"/>
      <c r="N17" s="983"/>
      <c r="O17" s="984"/>
      <c r="P17" s="983">
        <f t="shared" si="2"/>
        <v>0</v>
      </c>
      <c r="Q17" s="1087"/>
      <c r="R17" s="1088"/>
      <c r="S17" s="1089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3"/>
      <c r="E18" s="984"/>
      <c r="F18" s="1079">
        <f t="shared" si="8"/>
        <v>0</v>
      </c>
      <c r="G18" s="1069"/>
      <c r="H18" s="1080"/>
      <c r="I18" s="1081">
        <f t="shared" si="9"/>
        <v>0</v>
      </c>
      <c r="K18" s="126"/>
      <c r="L18" s="84">
        <f t="shared" si="1"/>
        <v>0</v>
      </c>
      <c r="M18" s="74"/>
      <c r="N18" s="983"/>
      <c r="O18" s="984"/>
      <c r="P18" s="983">
        <f t="shared" si="2"/>
        <v>0</v>
      </c>
      <c r="Q18" s="687"/>
      <c r="R18" s="985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3"/>
      <c r="E19" s="984"/>
      <c r="F19" s="983">
        <f t="shared" si="8"/>
        <v>0</v>
      </c>
      <c r="G19" s="687"/>
      <c r="H19" s="279"/>
      <c r="I19" s="288">
        <f t="shared" si="9"/>
        <v>0</v>
      </c>
      <c r="K19" s="126"/>
      <c r="L19" s="84">
        <f t="shared" si="1"/>
        <v>0</v>
      </c>
      <c r="M19" s="15"/>
      <c r="N19" s="983"/>
      <c r="O19" s="984"/>
      <c r="P19" s="983">
        <f t="shared" si="2"/>
        <v>0</v>
      </c>
      <c r="Q19" s="687"/>
      <c r="R19" s="985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3"/>
      <c r="E20" s="984"/>
      <c r="F20" s="983">
        <f t="shared" si="8"/>
        <v>0</v>
      </c>
      <c r="G20" s="687"/>
      <c r="H20" s="279"/>
      <c r="I20" s="288">
        <f t="shared" si="9"/>
        <v>0</v>
      </c>
      <c r="K20" s="126"/>
      <c r="L20" s="84">
        <f t="shared" si="1"/>
        <v>0</v>
      </c>
      <c r="M20" s="15"/>
      <c r="N20" s="983"/>
      <c r="O20" s="984"/>
      <c r="P20" s="983">
        <f t="shared" si="2"/>
        <v>0</v>
      </c>
      <c r="Q20" s="687"/>
      <c r="R20" s="985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3"/>
      <c r="E21" s="984"/>
      <c r="F21" s="983">
        <f t="shared" si="8"/>
        <v>0</v>
      </c>
      <c r="G21" s="687"/>
      <c r="H21" s="279"/>
      <c r="I21" s="288">
        <f t="shared" si="9"/>
        <v>0</v>
      </c>
      <c r="K21" s="126"/>
      <c r="L21" s="84">
        <f t="shared" si="1"/>
        <v>0</v>
      </c>
      <c r="M21" s="15"/>
      <c r="N21" s="983"/>
      <c r="O21" s="984"/>
      <c r="P21" s="983">
        <f t="shared" si="2"/>
        <v>0</v>
      </c>
      <c r="Q21" s="687"/>
      <c r="R21" s="985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3"/>
      <c r="E22" s="984"/>
      <c r="F22" s="983">
        <f t="shared" si="8"/>
        <v>0</v>
      </c>
      <c r="G22" s="687"/>
      <c r="H22" s="279"/>
      <c r="I22" s="288">
        <f t="shared" si="9"/>
        <v>0</v>
      </c>
      <c r="K22" s="126"/>
      <c r="L22" s="294">
        <f t="shared" si="1"/>
        <v>0</v>
      </c>
      <c r="M22" s="15"/>
      <c r="N22" s="983"/>
      <c r="O22" s="984"/>
      <c r="P22" s="983">
        <f t="shared" si="2"/>
        <v>0</v>
      </c>
      <c r="Q22" s="687"/>
      <c r="R22" s="985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3"/>
      <c r="E23" s="984"/>
      <c r="F23" s="983">
        <f t="shared" si="8"/>
        <v>0</v>
      </c>
      <c r="G23" s="687"/>
      <c r="H23" s="279"/>
      <c r="I23" s="288">
        <f t="shared" si="9"/>
        <v>0</v>
      </c>
      <c r="K23" s="127"/>
      <c r="L23" s="294">
        <f t="shared" si="1"/>
        <v>0</v>
      </c>
      <c r="M23" s="15"/>
      <c r="N23" s="983"/>
      <c r="O23" s="984"/>
      <c r="P23" s="983">
        <f t="shared" si="2"/>
        <v>0</v>
      </c>
      <c r="Q23" s="687"/>
      <c r="R23" s="985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3"/>
      <c r="AI23" s="984"/>
      <c r="AJ23" s="983">
        <f t="shared" si="6"/>
        <v>0</v>
      </c>
      <c r="AK23" s="687"/>
      <c r="AL23" s="985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3"/>
      <c r="E24" s="984"/>
      <c r="F24" s="983">
        <f t="shared" si="8"/>
        <v>0</v>
      </c>
      <c r="G24" s="687"/>
      <c r="H24" s="279"/>
      <c r="I24" s="288">
        <f t="shared" si="9"/>
        <v>0</v>
      </c>
      <c r="K24" s="126"/>
      <c r="L24" s="294">
        <f t="shared" si="1"/>
        <v>0</v>
      </c>
      <c r="M24" s="15"/>
      <c r="N24" s="983"/>
      <c r="O24" s="984"/>
      <c r="P24" s="983">
        <f t="shared" si="2"/>
        <v>0</v>
      </c>
      <c r="Q24" s="687"/>
      <c r="R24" s="985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3"/>
      <c r="AI24" s="984"/>
      <c r="AJ24" s="983">
        <f t="shared" si="6"/>
        <v>0</v>
      </c>
      <c r="AK24" s="687"/>
      <c r="AL24" s="985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3"/>
      <c r="E25" s="984"/>
      <c r="F25" s="983">
        <f t="shared" si="8"/>
        <v>0</v>
      </c>
      <c r="G25" s="687"/>
      <c r="H25" s="279"/>
      <c r="I25" s="288">
        <f t="shared" si="9"/>
        <v>0</v>
      </c>
      <c r="K25" s="126"/>
      <c r="L25" s="294">
        <f t="shared" si="1"/>
        <v>0</v>
      </c>
      <c r="M25" s="15"/>
      <c r="N25" s="983"/>
      <c r="O25" s="984"/>
      <c r="P25" s="983">
        <f t="shared" si="2"/>
        <v>0</v>
      </c>
      <c r="Q25" s="687" t="s">
        <v>22</v>
      </c>
      <c r="R25" s="985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3"/>
      <c r="AI25" s="984"/>
      <c r="AJ25" s="983">
        <f t="shared" si="6"/>
        <v>0</v>
      </c>
      <c r="AK25" s="687" t="s">
        <v>22</v>
      </c>
      <c r="AL25" s="985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3"/>
      <c r="E26" s="984"/>
      <c r="F26" s="983">
        <f t="shared" si="8"/>
        <v>0</v>
      </c>
      <c r="G26" s="687"/>
      <c r="H26" s="279"/>
      <c r="I26" s="288">
        <f t="shared" si="9"/>
        <v>0</v>
      </c>
      <c r="K26" s="126"/>
      <c r="L26" s="205">
        <f t="shared" si="1"/>
        <v>0</v>
      </c>
      <c r="M26" s="15"/>
      <c r="N26" s="983"/>
      <c r="O26" s="984"/>
      <c r="P26" s="983">
        <f t="shared" si="2"/>
        <v>0</v>
      </c>
      <c r="Q26" s="687"/>
      <c r="R26" s="985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3"/>
      <c r="AI26" s="984"/>
      <c r="AJ26" s="983">
        <f t="shared" si="6"/>
        <v>0</v>
      </c>
      <c r="AK26" s="687"/>
      <c r="AL26" s="985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3"/>
      <c r="O27" s="984"/>
      <c r="P27" s="983">
        <f t="shared" si="2"/>
        <v>0</v>
      </c>
      <c r="Q27" s="687"/>
      <c r="R27" s="985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3"/>
      <c r="AI27" s="984"/>
      <c r="AJ27" s="983">
        <f t="shared" si="6"/>
        <v>0</v>
      </c>
      <c r="AK27" s="687"/>
      <c r="AL27" s="985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3"/>
      <c r="O28" s="984"/>
      <c r="P28" s="983">
        <f t="shared" si="2"/>
        <v>0</v>
      </c>
      <c r="Q28" s="687"/>
      <c r="R28" s="985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3"/>
      <c r="AI28" s="984"/>
      <c r="AJ28" s="983">
        <f t="shared" si="6"/>
        <v>0</v>
      </c>
      <c r="AK28" s="687"/>
      <c r="AL28" s="985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89" t="s">
        <v>11</v>
      </c>
      <c r="D83" s="1190"/>
      <c r="E83" s="58">
        <f>E5+E6-F78+E7</f>
        <v>0</v>
      </c>
      <c r="F83" s="74"/>
      <c r="M83" s="1189" t="s">
        <v>11</v>
      </c>
      <c r="N83" s="1190"/>
      <c r="O83" s="58">
        <f>O5+O6-P78+O7</f>
        <v>0</v>
      </c>
      <c r="P83" s="74"/>
      <c r="W83" s="1189" t="s">
        <v>11</v>
      </c>
      <c r="X83" s="1190"/>
      <c r="Y83" s="58">
        <f>Y5+Y6-Z78+Y7</f>
        <v>250</v>
      </c>
      <c r="Z83" s="74"/>
      <c r="AG83" s="1189" t="s">
        <v>11</v>
      </c>
      <c r="AH83" s="1190"/>
      <c r="AI83" s="58">
        <f>AI5+AI6-AJ78+AI7</f>
        <v>60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28" t="s">
        <v>246</v>
      </c>
      <c r="B1" s="1228"/>
      <c r="C1" s="1228"/>
      <c r="D1" s="1228"/>
      <c r="E1" s="1228"/>
      <c r="F1" s="1228"/>
      <c r="G1" s="1228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3">
        <v>499.6</v>
      </c>
      <c r="F4" s="330">
        <v>19</v>
      </c>
      <c r="G4" s="74"/>
    </row>
    <row r="5" spans="1:11" ht="15" customHeight="1" x14ac:dyDescent="0.25">
      <c r="A5" s="1235" t="s">
        <v>413</v>
      </c>
      <c r="B5" s="1233" t="s">
        <v>73</v>
      </c>
      <c r="C5" s="305">
        <v>53</v>
      </c>
      <c r="D5" s="458">
        <v>44553</v>
      </c>
      <c r="E5" s="1113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35"/>
      <c r="B6" s="1234"/>
      <c r="C6" s="305">
        <v>54</v>
      </c>
      <c r="D6" s="458">
        <v>44559</v>
      </c>
      <c r="E6" s="1113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35"/>
      <c r="B7" s="1234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29" t="s">
        <v>50</v>
      </c>
      <c r="J8" s="123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30"/>
      <c r="J9" s="1232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1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7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3" t="s">
        <v>11</v>
      </c>
      <c r="D40" s="1214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C21" sqref="C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28" t="s">
        <v>246</v>
      </c>
      <c r="B1" s="1228"/>
      <c r="C1" s="1228"/>
      <c r="D1" s="1228"/>
      <c r="E1" s="1228"/>
      <c r="F1" s="1228"/>
      <c r="G1" s="1228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35" t="s">
        <v>68</v>
      </c>
      <c r="B5" s="1236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35"/>
      <c r="B6" s="1237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35"/>
      <c r="B7" s="1237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29" t="s">
        <v>50</v>
      </c>
      <c r="J8" s="123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30"/>
      <c r="J9" s="1232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136">
        <v>2</v>
      </c>
      <c r="D11" s="1137">
        <f t="shared" ref="D11:D28" si="1">C11*B11</f>
        <v>30</v>
      </c>
      <c r="E11" s="861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7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3" t="s">
        <v>11</v>
      </c>
      <c r="D40" s="1214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91" t="s">
        <v>258</v>
      </c>
      <c r="B1" s="1191"/>
      <c r="C1" s="1191"/>
      <c r="D1" s="1191"/>
      <c r="E1" s="1191"/>
      <c r="F1" s="1191"/>
      <c r="G1" s="1191"/>
      <c r="H1" s="100">
        <v>1</v>
      </c>
      <c r="L1" s="1191" t="str">
        <f>A1</f>
        <v>INVENTARIO     DEL MES DE    NOVIEMBRE    2021</v>
      </c>
      <c r="M1" s="1191"/>
      <c r="N1" s="1191"/>
      <c r="O1" s="1191"/>
      <c r="P1" s="1191"/>
      <c r="Q1" s="1191"/>
      <c r="R1" s="1191"/>
      <c r="S1" s="100">
        <v>2</v>
      </c>
      <c r="W1" s="1195" t="s">
        <v>265</v>
      </c>
      <c r="X1" s="1195"/>
      <c r="Y1" s="1195"/>
      <c r="Z1" s="1195"/>
      <c r="AA1" s="1195"/>
      <c r="AB1" s="1195"/>
      <c r="AC1" s="1195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37">
        <v>245.97</v>
      </c>
      <c r="Q4" s="328">
        <v>14</v>
      </c>
      <c r="W4" s="76"/>
      <c r="X4" s="151"/>
      <c r="Y4" s="260"/>
      <c r="Z4" s="326"/>
      <c r="AA4" s="937">
        <v>513.65</v>
      </c>
      <c r="AB4" s="328">
        <v>38</v>
      </c>
    </row>
    <row r="5" spans="1:32" ht="15" customHeight="1" x14ac:dyDescent="0.25">
      <c r="A5" s="1238" t="s">
        <v>67</v>
      </c>
      <c r="B5" s="1240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45" t="s">
        <v>67</v>
      </c>
      <c r="M5" s="1240" t="s">
        <v>101</v>
      </c>
      <c r="N5" s="260">
        <v>60</v>
      </c>
      <c r="O5" s="326">
        <v>44519</v>
      </c>
      <c r="P5" s="938">
        <v>307.74</v>
      </c>
      <c r="Q5" s="330">
        <v>15</v>
      </c>
      <c r="R5" s="317">
        <f>Q98</f>
        <v>2112.96</v>
      </c>
      <c r="S5" s="59">
        <f>P4+P5+P7-R5+P6</f>
        <v>0</v>
      </c>
      <c r="W5" s="1245" t="s">
        <v>266</v>
      </c>
      <c r="X5" s="1247" t="s">
        <v>267</v>
      </c>
      <c r="Y5" s="260">
        <v>64.56</v>
      </c>
      <c r="Z5" s="326">
        <v>44537</v>
      </c>
      <c r="AA5" s="938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38"/>
      <c r="B6" s="1241"/>
      <c r="C6" s="260"/>
      <c r="D6" s="326"/>
      <c r="E6" s="327"/>
      <c r="F6" s="328"/>
      <c r="G6" s="317"/>
      <c r="H6" s="59"/>
      <c r="L6" s="1245"/>
      <c r="M6" s="1241"/>
      <c r="N6" s="260">
        <v>62</v>
      </c>
      <c r="O6" s="326">
        <v>44526</v>
      </c>
      <c r="P6" s="937">
        <v>1027.9100000000001</v>
      </c>
      <c r="Q6" s="328">
        <v>37</v>
      </c>
      <c r="R6" s="317"/>
      <c r="S6" s="59"/>
      <c r="W6" s="1245"/>
      <c r="X6" s="1248"/>
      <c r="Y6" s="260"/>
      <c r="Z6" s="326"/>
      <c r="AA6" s="938"/>
      <c r="AB6" s="330"/>
      <c r="AC6" s="317"/>
      <c r="AD6" s="59"/>
    </row>
    <row r="7" spans="1:32" ht="17.25" thickTop="1" thickBot="1" x14ac:dyDescent="0.3">
      <c r="A7" s="1239"/>
      <c r="B7" s="1242"/>
      <c r="C7" s="260"/>
      <c r="D7" s="326"/>
      <c r="E7" s="329"/>
      <c r="F7" s="330"/>
      <c r="G7" s="253"/>
      <c r="I7" s="1243" t="s">
        <v>3</v>
      </c>
      <c r="J7" s="1250" t="s">
        <v>4</v>
      </c>
      <c r="L7" s="1246"/>
      <c r="M7" s="1242"/>
      <c r="N7" s="260"/>
      <c r="O7" s="326"/>
      <c r="P7" s="937">
        <v>531.34</v>
      </c>
      <c r="Q7" s="328">
        <v>40</v>
      </c>
      <c r="R7" s="253"/>
      <c r="T7" s="1243" t="s">
        <v>3</v>
      </c>
      <c r="U7" s="1250" t="s">
        <v>4</v>
      </c>
      <c r="W7" s="1246"/>
      <c r="X7" s="1249"/>
      <c r="Y7" s="260"/>
      <c r="Z7" s="326"/>
      <c r="AA7" s="937"/>
      <c r="AB7" s="328"/>
      <c r="AC7" s="253"/>
      <c r="AE7" s="1243" t="s">
        <v>3</v>
      </c>
      <c r="AF7" s="125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44"/>
      <c r="J8" s="125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44"/>
      <c r="U8" s="125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44"/>
      <c r="AF8" s="1251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3">
        <v>798.42</v>
      </c>
      <c r="P9" s="811">
        <v>44537</v>
      </c>
      <c r="Q9" s="705">
        <f t="shared" ref="Q9:Q13" si="1">O9</f>
        <v>798.42</v>
      </c>
      <c r="R9" s="706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3">
        <v>800.89</v>
      </c>
      <c r="P10" s="811">
        <v>44539</v>
      </c>
      <c r="Q10" s="705">
        <f t="shared" si="1"/>
        <v>800.89</v>
      </c>
      <c r="R10" s="706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3"/>
      <c r="P11" s="811"/>
      <c r="Q11" s="705">
        <f t="shared" si="1"/>
        <v>0</v>
      </c>
      <c r="R11" s="706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3"/>
      <c r="P12" s="811"/>
      <c r="Q12" s="705">
        <f t="shared" si="1"/>
        <v>0</v>
      </c>
      <c r="R12" s="706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5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3"/>
      <c r="P13" s="811"/>
      <c r="Q13" s="705">
        <f t="shared" si="1"/>
        <v>0</v>
      </c>
      <c r="R13" s="706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5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4"/>
      <c r="T14" s="1082">
        <f t="shared" si="5"/>
        <v>0</v>
      </c>
      <c r="U14" s="1083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5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4"/>
      <c r="T15" s="1082">
        <f t="shared" si="5"/>
        <v>0</v>
      </c>
      <c r="U15" s="1083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2" t="s">
        <v>589</v>
      </c>
      <c r="AD15" s="1085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4"/>
      <c r="T16" s="1082">
        <f t="shared" si="5"/>
        <v>0</v>
      </c>
      <c r="U16" s="1083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2" t="s">
        <v>589</v>
      </c>
      <c r="AD16" s="1085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4"/>
      <c r="T17" s="1082">
        <f t="shared" si="5"/>
        <v>0</v>
      </c>
      <c r="U17" s="1083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2" t="s">
        <v>589</v>
      </c>
      <c r="AD17" s="1085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7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7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3" t="s">
        <v>589</v>
      </c>
      <c r="AD18" s="1085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2" t="s">
        <v>589</v>
      </c>
      <c r="AD19" s="1085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5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5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3">
        <v>111.29</v>
      </c>
      <c r="E22" s="810">
        <v>44474</v>
      </c>
      <c r="F22" s="705">
        <f t="shared" si="10"/>
        <v>111.29</v>
      </c>
      <c r="G22" s="706" t="s">
        <v>125</v>
      </c>
      <c r="H22" s="862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3">
        <v>111.1</v>
      </c>
      <c r="E23" s="810">
        <v>44477</v>
      </c>
      <c r="F23" s="705">
        <f t="shared" si="10"/>
        <v>111.1</v>
      </c>
      <c r="G23" s="706" t="s">
        <v>126</v>
      </c>
      <c r="H23" s="862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3">
        <v>23.29</v>
      </c>
      <c r="E24" s="810">
        <v>44480</v>
      </c>
      <c r="F24" s="705">
        <f t="shared" si="10"/>
        <v>23.29</v>
      </c>
      <c r="G24" s="706" t="s">
        <v>127</v>
      </c>
      <c r="H24" s="862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3">
        <v>48.57</v>
      </c>
      <c r="E25" s="812">
        <v>44482</v>
      </c>
      <c r="F25" s="705">
        <f t="shared" si="10"/>
        <v>48.57</v>
      </c>
      <c r="G25" s="706" t="s">
        <v>128</v>
      </c>
      <c r="H25" s="862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3">
        <v>48.01</v>
      </c>
      <c r="E26" s="812">
        <v>44482</v>
      </c>
      <c r="F26" s="705">
        <f t="shared" si="10"/>
        <v>48.01</v>
      </c>
      <c r="G26" s="706" t="s">
        <v>129</v>
      </c>
      <c r="H26" s="862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3">
        <v>22.83</v>
      </c>
      <c r="E27" s="812">
        <v>44483</v>
      </c>
      <c r="F27" s="705">
        <f t="shared" si="10"/>
        <v>22.83</v>
      </c>
      <c r="G27" s="706" t="s">
        <v>130</v>
      </c>
      <c r="H27" s="862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3">
        <v>106.01</v>
      </c>
      <c r="E28" s="812">
        <v>44485</v>
      </c>
      <c r="F28" s="705">
        <f t="shared" si="10"/>
        <v>106.01</v>
      </c>
      <c r="G28" s="706" t="s">
        <v>132</v>
      </c>
      <c r="H28" s="862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3">
        <v>23.66</v>
      </c>
      <c r="E29" s="810">
        <v>44490</v>
      </c>
      <c r="F29" s="705">
        <f t="shared" si="10"/>
        <v>23.66</v>
      </c>
      <c r="G29" s="687" t="s">
        <v>131</v>
      </c>
      <c r="H29" s="863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5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3">
        <v>97.92</v>
      </c>
      <c r="E30" s="810">
        <v>44491</v>
      </c>
      <c r="F30" s="705">
        <f t="shared" si="10"/>
        <v>97.92</v>
      </c>
      <c r="G30" s="687" t="s">
        <v>133</v>
      </c>
      <c r="H30" s="863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5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3">
        <v>24.87</v>
      </c>
      <c r="E31" s="810">
        <v>44495</v>
      </c>
      <c r="F31" s="705">
        <f t="shared" si="10"/>
        <v>24.87</v>
      </c>
      <c r="G31" s="687" t="s">
        <v>134</v>
      </c>
      <c r="H31" s="863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5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3">
        <v>118.77</v>
      </c>
      <c r="E32" s="810">
        <v>44496</v>
      </c>
      <c r="F32" s="705">
        <f t="shared" si="10"/>
        <v>118.77</v>
      </c>
      <c r="G32" s="687" t="s">
        <v>136</v>
      </c>
      <c r="H32" s="863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5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3">
        <v>99.52</v>
      </c>
      <c r="E33" s="810">
        <v>44501</v>
      </c>
      <c r="F33" s="705">
        <f t="shared" si="10"/>
        <v>99.52</v>
      </c>
      <c r="G33" s="687" t="s">
        <v>141</v>
      </c>
      <c r="H33" s="863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5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3">
        <v>106.22</v>
      </c>
      <c r="E34" s="810">
        <v>44501</v>
      </c>
      <c r="F34" s="705">
        <f t="shared" si="10"/>
        <v>106.22</v>
      </c>
      <c r="G34" s="706" t="s">
        <v>143</v>
      </c>
      <c r="H34" s="862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3">
        <v>51.43</v>
      </c>
      <c r="E35" s="810">
        <v>44501</v>
      </c>
      <c r="F35" s="705">
        <f t="shared" si="10"/>
        <v>51.43</v>
      </c>
      <c r="G35" s="706" t="s">
        <v>143</v>
      </c>
      <c r="H35" s="862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3">
        <v>39.68</v>
      </c>
      <c r="E36" s="811">
        <v>44501</v>
      </c>
      <c r="F36" s="705">
        <f t="shared" si="10"/>
        <v>39.68</v>
      </c>
      <c r="G36" s="706" t="s">
        <v>144</v>
      </c>
      <c r="H36" s="862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3">
        <v>62.83</v>
      </c>
      <c r="E37" s="811">
        <v>44503</v>
      </c>
      <c r="F37" s="705">
        <f t="shared" si="10"/>
        <v>62.83</v>
      </c>
      <c r="G37" s="706" t="s">
        <v>148</v>
      </c>
      <c r="H37" s="862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3">
        <v>122.57</v>
      </c>
      <c r="E38" s="811">
        <v>44505</v>
      </c>
      <c r="F38" s="705">
        <f t="shared" si="10"/>
        <v>122.57</v>
      </c>
      <c r="G38" s="706" t="s">
        <v>151</v>
      </c>
      <c r="H38" s="862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3">
        <v>487.32</v>
      </c>
      <c r="E39" s="811">
        <v>44506</v>
      </c>
      <c r="F39" s="705">
        <f t="shared" si="10"/>
        <v>487.32</v>
      </c>
      <c r="G39" s="706" t="s">
        <v>154</v>
      </c>
      <c r="H39" s="862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3">
        <v>461.89</v>
      </c>
      <c r="E40" s="344">
        <v>44511</v>
      </c>
      <c r="F40" s="240">
        <f t="shared" si="10"/>
        <v>461.89</v>
      </c>
      <c r="G40" s="183" t="s">
        <v>175</v>
      </c>
      <c r="H40" s="957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3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3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3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3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3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3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58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58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3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3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3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3">
        <v>114.6</v>
      </c>
      <c r="E52" s="344">
        <v>44529</v>
      </c>
      <c r="F52" s="240">
        <f t="shared" si="10"/>
        <v>114.6</v>
      </c>
      <c r="G52" s="959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3">
        <v>210.66</v>
      </c>
      <c r="E53" s="344">
        <v>44529</v>
      </c>
      <c r="F53" s="240">
        <f t="shared" si="10"/>
        <v>210.66</v>
      </c>
      <c r="G53" s="960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3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3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3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3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3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3">
        <v>274.69</v>
      </c>
      <c r="E59" s="811">
        <v>44537</v>
      </c>
      <c r="F59" s="705">
        <f t="shared" si="17"/>
        <v>274.69</v>
      </c>
      <c r="G59" s="706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3">
        <v>744.15</v>
      </c>
      <c r="E60" s="811">
        <v>44537</v>
      </c>
      <c r="F60" s="705">
        <f t="shared" si="17"/>
        <v>744.15</v>
      </c>
      <c r="G60" s="706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3">
        <v>822.39</v>
      </c>
      <c r="E61" s="811">
        <v>44537</v>
      </c>
      <c r="F61" s="705">
        <f t="shared" si="17"/>
        <v>822.39</v>
      </c>
      <c r="G61" s="706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3">
        <v>834.3</v>
      </c>
      <c r="E62" s="811">
        <v>44537</v>
      </c>
      <c r="F62" s="705">
        <f t="shared" si="17"/>
        <v>834.3</v>
      </c>
      <c r="G62" s="706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3">
        <v>835.09</v>
      </c>
      <c r="E63" s="811">
        <v>44537</v>
      </c>
      <c r="F63" s="705">
        <f t="shared" si="17"/>
        <v>835.09</v>
      </c>
      <c r="G63" s="706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3"/>
      <c r="E64" s="811"/>
      <c r="F64" s="705">
        <f t="shared" si="17"/>
        <v>0</v>
      </c>
      <c r="G64" s="706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3"/>
      <c r="E65" s="811"/>
      <c r="F65" s="705">
        <f t="shared" si="17"/>
        <v>0</v>
      </c>
      <c r="G65" s="706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3"/>
      <c r="E66" s="811"/>
      <c r="F66" s="705">
        <f t="shared" si="17"/>
        <v>0</v>
      </c>
      <c r="G66" s="706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3"/>
      <c r="E67" s="811"/>
      <c r="F67" s="705">
        <f t="shared" si="17"/>
        <v>0</v>
      </c>
      <c r="G67" s="706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3"/>
      <c r="E68" s="811"/>
      <c r="F68" s="705">
        <f t="shared" si="17"/>
        <v>0</v>
      </c>
      <c r="G68" s="706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3">
        <v>531.34</v>
      </c>
      <c r="E69" s="811"/>
      <c r="F69" s="705">
        <f t="shared" si="17"/>
        <v>531.34</v>
      </c>
      <c r="G69" s="1069"/>
      <c r="H69" s="1070"/>
      <c r="I69" s="1082">
        <f t="shared" si="3"/>
        <v>-1.3642420526593924E-12</v>
      </c>
      <c r="J69" s="1083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3"/>
      <c r="E70" s="811"/>
      <c r="F70" s="705">
        <f t="shared" si="17"/>
        <v>0</v>
      </c>
      <c r="G70" s="1069"/>
      <c r="H70" s="1070"/>
      <c r="I70" s="1082">
        <f t="shared" si="3"/>
        <v>-1.3642420526593924E-12</v>
      </c>
      <c r="J70" s="1083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3"/>
      <c r="E71" s="811"/>
      <c r="F71" s="705">
        <f t="shared" si="17"/>
        <v>0</v>
      </c>
      <c r="G71" s="1069"/>
      <c r="H71" s="1070"/>
      <c r="I71" s="1082">
        <f t="shared" si="3"/>
        <v>-1.3642420526593924E-12</v>
      </c>
      <c r="J71" s="1083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3"/>
      <c r="E72" s="811"/>
      <c r="F72" s="705">
        <f t="shared" si="17"/>
        <v>0</v>
      </c>
      <c r="G72" s="1069"/>
      <c r="H72" s="1070"/>
      <c r="I72" s="1082">
        <f t="shared" si="3"/>
        <v>-1.3642420526593924E-12</v>
      </c>
      <c r="J72" s="1083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3"/>
      <c r="E73" s="811"/>
      <c r="F73" s="705">
        <f t="shared" si="17"/>
        <v>0</v>
      </c>
      <c r="G73" s="1069"/>
      <c r="H73" s="1070"/>
      <c r="I73" s="1082">
        <f t="shared" si="3"/>
        <v>-1.3642420526593924E-12</v>
      </c>
      <c r="J73" s="1083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3"/>
      <c r="E74" s="811"/>
      <c r="F74" s="705">
        <f t="shared" si="17"/>
        <v>0</v>
      </c>
      <c r="G74" s="706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3"/>
      <c r="E75" s="811"/>
      <c r="F75" s="705">
        <f t="shared" si="17"/>
        <v>0</v>
      </c>
      <c r="G75" s="706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3"/>
      <c r="E76" s="811"/>
      <c r="F76" s="705">
        <f t="shared" si="17"/>
        <v>0</v>
      </c>
      <c r="G76" s="706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3"/>
      <c r="E77" s="811"/>
      <c r="F77" s="705">
        <f t="shared" si="17"/>
        <v>0</v>
      </c>
      <c r="G77" s="706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3"/>
      <c r="E78" s="811"/>
      <c r="F78" s="705">
        <f t="shared" si="17"/>
        <v>0</v>
      </c>
      <c r="G78" s="706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3"/>
      <c r="E79" s="811"/>
      <c r="F79" s="705">
        <f t="shared" si="17"/>
        <v>0</v>
      </c>
      <c r="G79" s="706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3"/>
      <c r="E80" s="811"/>
      <c r="F80" s="705">
        <f t="shared" si="17"/>
        <v>0</v>
      </c>
      <c r="G80" s="706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3"/>
      <c r="E81" s="811"/>
      <c r="F81" s="705">
        <f t="shared" si="17"/>
        <v>0</v>
      </c>
      <c r="G81" s="706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3"/>
      <c r="E82" s="811"/>
      <c r="F82" s="705">
        <f t="shared" si="17"/>
        <v>0</v>
      </c>
      <c r="G82" s="706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3"/>
      <c r="E83" s="811"/>
      <c r="F83" s="705">
        <f t="shared" si="17"/>
        <v>0</v>
      </c>
      <c r="G83" s="706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3"/>
      <c r="E84" s="811"/>
      <c r="F84" s="705">
        <f t="shared" si="17"/>
        <v>0</v>
      </c>
      <c r="G84" s="706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3"/>
      <c r="E85" s="811"/>
      <c r="F85" s="705">
        <f t="shared" si="17"/>
        <v>0</v>
      </c>
      <c r="G85" s="706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3"/>
      <c r="E86" s="811"/>
      <c r="F86" s="705">
        <f t="shared" si="17"/>
        <v>0</v>
      </c>
      <c r="G86" s="706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3"/>
      <c r="E87" s="811"/>
      <c r="F87" s="705">
        <f t="shared" si="17"/>
        <v>0</v>
      </c>
      <c r="G87" s="706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3"/>
      <c r="E88" s="811"/>
      <c r="F88" s="705">
        <f t="shared" si="17"/>
        <v>0</v>
      </c>
      <c r="G88" s="706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3"/>
      <c r="E89" s="811"/>
      <c r="F89" s="705">
        <f t="shared" si="17"/>
        <v>0</v>
      </c>
      <c r="G89" s="706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3"/>
      <c r="E90" s="811"/>
      <c r="F90" s="705">
        <f t="shared" si="17"/>
        <v>0</v>
      </c>
      <c r="G90" s="706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3"/>
      <c r="E91" s="811"/>
      <c r="F91" s="705">
        <f t="shared" si="17"/>
        <v>0</v>
      </c>
      <c r="G91" s="706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3"/>
      <c r="E92" s="811"/>
      <c r="F92" s="705">
        <f t="shared" si="17"/>
        <v>0</v>
      </c>
      <c r="G92" s="706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3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3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3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3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4">
        <f>C97*B34</f>
        <v>0</v>
      </c>
      <c r="E97" s="915"/>
      <c r="F97" s="916">
        <f t="shared" si="10"/>
        <v>0</v>
      </c>
      <c r="G97" s="917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213" t="s">
        <v>11</v>
      </c>
      <c r="D101" s="1214"/>
      <c r="E101" s="152">
        <f>E5+E4+E7+-F98</f>
        <v>0</v>
      </c>
      <c r="L101" s="47"/>
      <c r="N101" s="1213" t="s">
        <v>11</v>
      </c>
      <c r="O101" s="1214"/>
      <c r="P101" s="152">
        <f>P5+P4+P7+-Q98</f>
        <v>-1027.9099999999999</v>
      </c>
      <c r="W101" s="47"/>
      <c r="Y101" s="1213" t="s">
        <v>11</v>
      </c>
      <c r="Z101" s="1214"/>
      <c r="AA101" s="152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5" t="s">
        <v>265</v>
      </c>
      <c r="B1" s="1195"/>
      <c r="C1" s="1195"/>
      <c r="D1" s="1195"/>
      <c r="E1" s="1195"/>
      <c r="F1" s="1195"/>
      <c r="G1" s="1195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37"/>
      <c r="F4" s="328"/>
    </row>
    <row r="5" spans="1:10" ht="16.5" thickBot="1" x14ac:dyDescent="0.3">
      <c r="A5" s="1245" t="s">
        <v>339</v>
      </c>
      <c r="B5" s="1247" t="s">
        <v>414</v>
      </c>
      <c r="C5" s="260">
        <v>53</v>
      </c>
      <c r="D5" s="326">
        <v>44559</v>
      </c>
      <c r="E5" s="938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46"/>
      <c r="B6" s="1249"/>
      <c r="C6" s="260"/>
      <c r="D6" s="326"/>
      <c r="E6" s="937"/>
      <c r="F6" s="328"/>
      <c r="G6" s="253"/>
      <c r="I6" s="1243" t="s">
        <v>3</v>
      </c>
      <c r="J6" s="12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51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7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213" t="s">
        <v>11</v>
      </c>
      <c r="D100" s="1214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1" t="s">
        <v>254</v>
      </c>
      <c r="B1" s="1191"/>
      <c r="C1" s="1191"/>
      <c r="D1" s="1191"/>
      <c r="E1" s="1191"/>
      <c r="F1" s="1191"/>
      <c r="G1" s="11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209" t="s">
        <v>67</v>
      </c>
      <c r="B5" s="1240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210"/>
      <c r="B6" s="1242"/>
      <c r="C6" s="260"/>
      <c r="D6" s="326"/>
      <c r="E6" s="329">
        <v>0.35</v>
      </c>
      <c r="F6" s="330"/>
      <c r="G6" s="253"/>
      <c r="I6" s="1243" t="s">
        <v>3</v>
      </c>
      <c r="J6" s="12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51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3">
        <v>328.28</v>
      </c>
      <c r="E9" s="811">
        <v>44541</v>
      </c>
      <c r="F9" s="983">
        <f t="shared" si="0"/>
        <v>328.28</v>
      </c>
      <c r="G9" s="687" t="s">
        <v>507</v>
      </c>
      <c r="H9" s="863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3">
        <v>356.2</v>
      </c>
      <c r="E10" s="994">
        <v>44559</v>
      </c>
      <c r="F10" s="983">
        <f t="shared" si="0"/>
        <v>356.2</v>
      </c>
      <c r="G10" s="687" t="s">
        <v>658</v>
      </c>
      <c r="H10" s="863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3">
        <f t="shared" ref="D11:D28" si="3">C11*B11</f>
        <v>0</v>
      </c>
      <c r="E11" s="994"/>
      <c r="F11" s="983">
        <f t="shared" si="0"/>
        <v>0</v>
      </c>
      <c r="G11" s="687"/>
      <c r="H11" s="863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3">
        <f t="shared" si="3"/>
        <v>0</v>
      </c>
      <c r="E12" s="994"/>
      <c r="F12" s="983">
        <f t="shared" si="0"/>
        <v>0</v>
      </c>
      <c r="G12" s="687"/>
      <c r="H12" s="863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3">
        <f t="shared" si="3"/>
        <v>0</v>
      </c>
      <c r="E13" s="991"/>
      <c r="F13" s="983">
        <f t="shared" si="0"/>
        <v>0</v>
      </c>
      <c r="G13" s="687"/>
      <c r="H13" s="863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3">
        <f t="shared" si="3"/>
        <v>0</v>
      </c>
      <c r="E14" s="991"/>
      <c r="F14" s="983">
        <f>D14</f>
        <v>0</v>
      </c>
      <c r="G14" s="687"/>
      <c r="H14" s="863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3">
        <f t="shared" si="3"/>
        <v>0</v>
      </c>
      <c r="E15" s="810"/>
      <c r="F15" s="705">
        <f>D15</f>
        <v>0</v>
      </c>
      <c r="G15" s="687"/>
      <c r="H15" s="863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3">
        <f t="shared" si="3"/>
        <v>0</v>
      </c>
      <c r="E16" s="812"/>
      <c r="F16" s="705">
        <f>D16</f>
        <v>0</v>
      </c>
      <c r="G16" s="706"/>
      <c r="H16" s="863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3">
        <f t="shared" si="3"/>
        <v>0</v>
      </c>
      <c r="E17" s="812"/>
      <c r="F17" s="705">
        <f t="shared" ref="F17:F29" si="4">D17</f>
        <v>0</v>
      </c>
      <c r="G17" s="997"/>
      <c r="H17" s="863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3">
        <f t="shared" si="3"/>
        <v>0</v>
      </c>
      <c r="E18" s="812"/>
      <c r="F18" s="705">
        <f t="shared" si="4"/>
        <v>0</v>
      </c>
      <c r="G18" s="706"/>
      <c r="H18" s="862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3">
        <f t="shared" si="3"/>
        <v>0</v>
      </c>
      <c r="E19" s="812"/>
      <c r="F19" s="705">
        <f t="shared" si="4"/>
        <v>0</v>
      </c>
      <c r="G19" s="706"/>
      <c r="H19" s="862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3">
        <f t="shared" si="3"/>
        <v>0</v>
      </c>
      <c r="E20" s="810"/>
      <c r="F20" s="705">
        <f t="shared" si="4"/>
        <v>0</v>
      </c>
      <c r="G20" s="706"/>
      <c r="H20" s="862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3">
        <f t="shared" si="3"/>
        <v>0</v>
      </c>
      <c r="E21" s="810"/>
      <c r="F21" s="705">
        <f t="shared" si="4"/>
        <v>0</v>
      </c>
      <c r="G21" s="706"/>
      <c r="H21" s="862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3">
        <f t="shared" si="3"/>
        <v>0</v>
      </c>
      <c r="E22" s="810"/>
      <c r="F22" s="705">
        <f t="shared" si="4"/>
        <v>0</v>
      </c>
      <c r="G22" s="706"/>
      <c r="H22" s="862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3" t="s">
        <v>11</v>
      </c>
      <c r="D33" s="1214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1" t="s">
        <v>254</v>
      </c>
      <c r="B1" s="1191"/>
      <c r="C1" s="1191"/>
      <c r="D1" s="1191"/>
      <c r="E1" s="1191"/>
      <c r="F1" s="1191"/>
      <c r="G1" s="11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52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53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54"/>
      <c r="C6" s="260"/>
      <c r="D6" s="258"/>
      <c r="E6" s="486"/>
      <c r="F6" s="281"/>
      <c r="G6" s="253"/>
      <c r="H6" s="253"/>
      <c r="I6" s="1243" t="s">
        <v>3</v>
      </c>
      <c r="J6" s="125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4"/>
      <c r="J7" s="1255"/>
    </row>
    <row r="8" spans="1:10" ht="15.75" thickTop="1" x14ac:dyDescent="0.25">
      <c r="A8" s="81" t="s">
        <v>32</v>
      </c>
      <c r="B8" s="690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0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0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0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0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0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0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0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0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0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0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0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0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0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0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0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0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0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0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0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0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0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0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0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39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0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0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213" t="s">
        <v>11</v>
      </c>
      <c r="D36" s="1214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F15" sqref="AF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91" t="s">
        <v>254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DEL MES DE NOVIEMBRE 2021</v>
      </c>
      <c r="L1" s="1191"/>
      <c r="M1" s="1191"/>
      <c r="N1" s="1191"/>
      <c r="O1" s="1191"/>
      <c r="P1" s="1191"/>
      <c r="Q1" s="1191"/>
      <c r="R1" s="11">
        <v>2</v>
      </c>
      <c r="V1" s="1191" t="str">
        <f>K1</f>
        <v>INVENTARIO    DEL MES DE NOVIEMBRE 2021</v>
      </c>
      <c r="W1" s="1191"/>
      <c r="X1" s="1191"/>
      <c r="Y1" s="1191"/>
      <c r="Z1" s="1191"/>
      <c r="AA1" s="1191"/>
      <c r="AB1" s="1191"/>
      <c r="AC1" s="11">
        <v>3</v>
      </c>
      <c r="AF1" s="1195" t="s">
        <v>246</v>
      </c>
      <c r="AG1" s="1195"/>
      <c r="AH1" s="1195"/>
      <c r="AI1" s="1195"/>
      <c r="AJ1" s="1195"/>
      <c r="AK1" s="1195"/>
      <c r="AL1" s="1195"/>
      <c r="AM1" s="11">
        <v>4</v>
      </c>
      <c r="AP1" s="1195" t="s">
        <v>246</v>
      </c>
      <c r="AQ1" s="1195"/>
      <c r="AR1" s="1195"/>
      <c r="AS1" s="1195"/>
      <c r="AT1" s="1195"/>
      <c r="AU1" s="1195"/>
      <c r="AV1" s="1195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88"/>
      <c r="N4" s="261"/>
      <c r="O4" s="272"/>
      <c r="P4" s="266"/>
      <c r="Q4" s="166"/>
      <c r="R4" s="166"/>
      <c r="V4" s="12"/>
      <c r="W4" s="12"/>
      <c r="X4" s="903"/>
      <c r="Y4" s="261"/>
      <c r="Z4" s="272"/>
      <c r="AA4" s="266"/>
      <c r="AB4" s="166"/>
      <c r="AC4" s="166"/>
      <c r="AF4" s="12"/>
      <c r="AG4" s="12"/>
      <c r="AH4" s="688"/>
      <c r="AI4" s="261"/>
      <c r="AJ4" s="272"/>
      <c r="AK4" s="266"/>
      <c r="AL4" s="166"/>
      <c r="AM4" s="166"/>
      <c r="AP4" s="12"/>
      <c r="AQ4" s="12"/>
      <c r="AR4" s="903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92" t="s">
        <v>99</v>
      </c>
      <c r="C5" s="624"/>
      <c r="D5" s="261"/>
      <c r="E5" s="280">
        <v>167.16</v>
      </c>
      <c r="F5" s="266">
        <v>13</v>
      </c>
      <c r="G5" s="273"/>
      <c r="K5" s="263" t="s">
        <v>97</v>
      </c>
      <c r="L5" s="1193" t="s">
        <v>98</v>
      </c>
      <c r="M5" s="624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94" t="s">
        <v>159</v>
      </c>
      <c r="X5" s="872"/>
      <c r="Y5" s="287"/>
      <c r="Z5" s="272"/>
      <c r="AA5" s="266"/>
      <c r="AB5" s="273"/>
      <c r="AF5" s="263" t="s">
        <v>97</v>
      </c>
      <c r="AG5" s="1193" t="s">
        <v>98</v>
      </c>
      <c r="AH5" s="624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94" t="s">
        <v>159</v>
      </c>
      <c r="AR5" s="872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48"/>
      <c r="B6" s="1192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93"/>
      <c r="M6" s="872">
        <v>92</v>
      </c>
      <c r="N6" s="261">
        <v>44515</v>
      </c>
      <c r="O6" s="900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94"/>
      <c r="X6" s="624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93"/>
      <c r="AH6" s="872">
        <v>92</v>
      </c>
      <c r="AI6" s="261">
        <v>44560</v>
      </c>
      <c r="AJ6" s="900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94"/>
      <c r="AR6" s="624">
        <v>84</v>
      </c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3"/>
      <c r="D7" s="261"/>
      <c r="E7" s="70"/>
      <c r="F7" s="74"/>
      <c r="G7" s="253"/>
      <c r="K7" s="253"/>
      <c r="L7" s="285"/>
      <c r="M7" s="872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2">
        <v>120</v>
      </c>
      <c r="Y7" s="261">
        <v>44530</v>
      </c>
      <c r="Z7" s="900">
        <v>309.14999999999998</v>
      </c>
      <c r="AA7" s="309">
        <v>25</v>
      </c>
      <c r="AB7" s="253"/>
      <c r="AF7" s="253"/>
      <c r="AG7" s="285"/>
      <c r="AH7" s="872"/>
      <c r="AI7" s="287"/>
      <c r="AJ7" s="272">
        <v>0.2</v>
      </c>
      <c r="AK7" s="266"/>
      <c r="AL7" s="253"/>
      <c r="AP7" s="253"/>
      <c r="AQ7" s="285"/>
      <c r="AR7" s="872"/>
      <c r="AS7" s="261"/>
      <c r="AT7" s="900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3">
        <v>192.04</v>
      </c>
      <c r="E11" s="984">
        <v>44551</v>
      </c>
      <c r="F11" s="983">
        <f t="shared" si="0"/>
        <v>192.04</v>
      </c>
      <c r="G11" s="687" t="s">
        <v>570</v>
      </c>
      <c r="H11" s="985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3">
        <v>144.16999999999999</v>
      </c>
      <c r="Z11" s="984">
        <v>44538</v>
      </c>
      <c r="AA11" s="983">
        <f t="shared" si="2"/>
        <v>144.16999999999999</v>
      </c>
      <c r="AB11" s="687" t="s">
        <v>472</v>
      </c>
      <c r="AC11" s="985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3"/>
      <c r="E12" s="984"/>
      <c r="F12" s="983">
        <f t="shared" si="0"/>
        <v>0</v>
      </c>
      <c r="G12" s="687"/>
      <c r="H12" s="985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3">
        <v>249.49</v>
      </c>
      <c r="O12" s="984">
        <v>44536</v>
      </c>
      <c r="P12" s="983">
        <f t="shared" si="1"/>
        <v>249.49</v>
      </c>
      <c r="Q12" s="687" t="s">
        <v>443</v>
      </c>
      <c r="R12" s="985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3">
        <v>183.67</v>
      </c>
      <c r="Z12" s="984">
        <v>44539</v>
      </c>
      <c r="AA12" s="983">
        <f t="shared" si="2"/>
        <v>183.67</v>
      </c>
      <c r="AB12" s="687" t="s">
        <v>497</v>
      </c>
      <c r="AC12" s="985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3"/>
      <c r="AJ12" s="984"/>
      <c r="AK12" s="983">
        <f t="shared" si="3"/>
        <v>0</v>
      </c>
      <c r="AL12" s="687"/>
      <c r="AM12" s="985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3"/>
      <c r="E13" s="984"/>
      <c r="F13" s="983">
        <f t="shared" si="0"/>
        <v>0</v>
      </c>
      <c r="G13" s="687"/>
      <c r="H13" s="985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3">
        <v>185.25</v>
      </c>
      <c r="O13" s="984">
        <v>44541</v>
      </c>
      <c r="P13" s="983">
        <f t="shared" si="1"/>
        <v>185.25</v>
      </c>
      <c r="Q13" s="687" t="s">
        <v>506</v>
      </c>
      <c r="R13" s="985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3">
        <v>123.13</v>
      </c>
      <c r="Z13" s="984">
        <v>44554</v>
      </c>
      <c r="AA13" s="983">
        <f t="shared" si="2"/>
        <v>123.13</v>
      </c>
      <c r="AB13" s="687" t="s">
        <v>606</v>
      </c>
      <c r="AC13" s="985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3"/>
      <c r="AJ13" s="984"/>
      <c r="AK13" s="983">
        <f t="shared" si="3"/>
        <v>0</v>
      </c>
      <c r="AL13" s="687"/>
      <c r="AM13" s="985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3"/>
      <c r="E14" s="984"/>
      <c r="F14" s="983">
        <f t="shared" si="0"/>
        <v>0</v>
      </c>
      <c r="G14" s="687"/>
      <c r="H14" s="985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3">
        <v>231.49</v>
      </c>
      <c r="O14" s="984">
        <v>44545</v>
      </c>
      <c r="P14" s="983">
        <f t="shared" si="1"/>
        <v>231.49</v>
      </c>
      <c r="Q14" s="687" t="s">
        <v>526</v>
      </c>
      <c r="R14" s="985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3">
        <v>98.79</v>
      </c>
      <c r="Z14" s="984">
        <v>44558</v>
      </c>
      <c r="AA14" s="983">
        <f t="shared" si="2"/>
        <v>98.79</v>
      </c>
      <c r="AB14" s="687" t="s">
        <v>640</v>
      </c>
      <c r="AC14" s="985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3"/>
      <c r="AJ14" s="984"/>
      <c r="AK14" s="983">
        <f t="shared" si="3"/>
        <v>0</v>
      </c>
      <c r="AL14" s="687"/>
      <c r="AM14" s="985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3"/>
      <c r="E15" s="984"/>
      <c r="F15" s="983">
        <f t="shared" si="0"/>
        <v>0</v>
      </c>
      <c r="G15" s="687"/>
      <c r="H15" s="985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3">
        <v>119.13</v>
      </c>
      <c r="O15" s="984">
        <v>44548</v>
      </c>
      <c r="P15" s="983">
        <f t="shared" si="1"/>
        <v>119.13</v>
      </c>
      <c r="Q15" s="687" t="s">
        <v>548</v>
      </c>
      <c r="R15" s="985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3"/>
      <c r="Z15" s="984"/>
      <c r="AA15" s="1111">
        <f t="shared" si="2"/>
        <v>0</v>
      </c>
      <c r="AB15" s="1087"/>
      <c r="AC15" s="1088"/>
      <c r="AD15" s="1089">
        <f t="shared" si="10"/>
        <v>0</v>
      </c>
      <c r="AF15" s="74"/>
      <c r="AG15" s="84">
        <f t="shared" si="11"/>
        <v>66</v>
      </c>
      <c r="AH15" s="74"/>
      <c r="AI15" s="983"/>
      <c r="AJ15" s="984"/>
      <c r="AK15" s="983">
        <f t="shared" si="3"/>
        <v>0</v>
      </c>
      <c r="AL15" s="687"/>
      <c r="AM15" s="985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3"/>
      <c r="E16" s="984"/>
      <c r="F16" s="983">
        <f t="shared" si="0"/>
        <v>0</v>
      </c>
      <c r="G16" s="687"/>
      <c r="H16" s="985"/>
      <c r="I16" s="288">
        <f t="shared" si="6"/>
        <v>664.98</v>
      </c>
      <c r="L16" s="84">
        <f t="shared" si="7"/>
        <v>8</v>
      </c>
      <c r="M16" s="74">
        <v>15</v>
      </c>
      <c r="N16" s="983">
        <v>177.38</v>
      </c>
      <c r="O16" s="984">
        <v>44551</v>
      </c>
      <c r="P16" s="983">
        <f t="shared" si="1"/>
        <v>177.38</v>
      </c>
      <c r="Q16" s="687" t="s">
        <v>570</v>
      </c>
      <c r="R16" s="985">
        <v>95</v>
      </c>
      <c r="S16" s="288">
        <f t="shared" si="8"/>
        <v>96.259999999999991</v>
      </c>
      <c r="W16" s="84">
        <f t="shared" si="9"/>
        <v>0</v>
      </c>
      <c r="X16" s="74"/>
      <c r="Y16" s="983"/>
      <c r="Z16" s="984"/>
      <c r="AA16" s="1111">
        <f t="shared" si="2"/>
        <v>0</v>
      </c>
      <c r="AB16" s="1087"/>
      <c r="AC16" s="1088"/>
      <c r="AD16" s="1089">
        <f t="shared" si="10"/>
        <v>0</v>
      </c>
      <c r="AG16" s="84">
        <f t="shared" si="11"/>
        <v>66</v>
      </c>
      <c r="AH16" s="74"/>
      <c r="AI16" s="983"/>
      <c r="AJ16" s="984"/>
      <c r="AK16" s="983">
        <f t="shared" si="3"/>
        <v>0</v>
      </c>
      <c r="AL16" s="687"/>
      <c r="AM16" s="985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3"/>
      <c r="E17" s="984"/>
      <c r="F17" s="983">
        <f t="shared" si="0"/>
        <v>0</v>
      </c>
      <c r="G17" s="687"/>
      <c r="H17" s="985"/>
      <c r="I17" s="288">
        <f t="shared" si="6"/>
        <v>664.98</v>
      </c>
      <c r="L17" s="84">
        <f t="shared" si="7"/>
        <v>0</v>
      </c>
      <c r="M17" s="74">
        <v>8</v>
      </c>
      <c r="N17" s="983">
        <v>96.06</v>
      </c>
      <c r="O17" s="984">
        <v>44554</v>
      </c>
      <c r="P17" s="983">
        <f t="shared" si="1"/>
        <v>96.06</v>
      </c>
      <c r="Q17" s="687" t="s">
        <v>606</v>
      </c>
      <c r="R17" s="985">
        <v>95</v>
      </c>
      <c r="S17" s="288">
        <f t="shared" si="8"/>
        <v>0.19999999999998863</v>
      </c>
      <c r="W17" s="84">
        <f t="shared" si="9"/>
        <v>0</v>
      </c>
      <c r="X17" s="74"/>
      <c r="Y17" s="983"/>
      <c r="Z17" s="984"/>
      <c r="AA17" s="1111">
        <f t="shared" si="2"/>
        <v>0</v>
      </c>
      <c r="AB17" s="1087"/>
      <c r="AC17" s="1088"/>
      <c r="AD17" s="1089">
        <f t="shared" si="10"/>
        <v>0</v>
      </c>
      <c r="AG17" s="84">
        <f t="shared" si="11"/>
        <v>66</v>
      </c>
      <c r="AH17" s="74"/>
      <c r="AI17" s="983"/>
      <c r="AJ17" s="984"/>
      <c r="AK17" s="983">
        <f t="shared" si="3"/>
        <v>0</v>
      </c>
      <c r="AL17" s="687"/>
      <c r="AM17" s="985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3"/>
      <c r="E18" s="984"/>
      <c r="F18" s="983">
        <f t="shared" si="0"/>
        <v>0</v>
      </c>
      <c r="G18" s="687"/>
      <c r="H18" s="985"/>
      <c r="I18" s="288">
        <f t="shared" si="6"/>
        <v>664.98</v>
      </c>
      <c r="K18" s="126"/>
      <c r="L18" s="84">
        <f t="shared" si="7"/>
        <v>0</v>
      </c>
      <c r="M18" s="74"/>
      <c r="N18" s="983"/>
      <c r="O18" s="984"/>
      <c r="P18" s="1111">
        <f t="shared" si="1"/>
        <v>0</v>
      </c>
      <c r="Q18" s="1087"/>
      <c r="R18" s="1088"/>
      <c r="S18" s="1089">
        <f t="shared" si="8"/>
        <v>0.19999999999998863</v>
      </c>
      <c r="V18" s="126"/>
      <c r="W18" s="84">
        <f t="shared" si="9"/>
        <v>0</v>
      </c>
      <c r="X18" s="74"/>
      <c r="Y18" s="983"/>
      <c r="Z18" s="984"/>
      <c r="AA18" s="1111">
        <f t="shared" si="2"/>
        <v>0</v>
      </c>
      <c r="AB18" s="1087"/>
      <c r="AC18" s="1088"/>
      <c r="AD18" s="1089">
        <f t="shared" si="10"/>
        <v>0</v>
      </c>
      <c r="AF18" s="126"/>
      <c r="AG18" s="84">
        <f t="shared" si="11"/>
        <v>66</v>
      </c>
      <c r="AH18" s="74"/>
      <c r="AI18" s="983"/>
      <c r="AJ18" s="984"/>
      <c r="AK18" s="983">
        <f t="shared" si="3"/>
        <v>0</v>
      </c>
      <c r="AL18" s="687"/>
      <c r="AM18" s="985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3"/>
      <c r="E19" s="984"/>
      <c r="F19" s="983">
        <f t="shared" si="0"/>
        <v>0</v>
      </c>
      <c r="G19" s="687"/>
      <c r="H19" s="985"/>
      <c r="I19" s="288">
        <f t="shared" si="6"/>
        <v>664.98</v>
      </c>
      <c r="K19" s="126"/>
      <c r="L19" s="84">
        <f t="shared" si="7"/>
        <v>0</v>
      </c>
      <c r="M19" s="15"/>
      <c r="N19" s="983"/>
      <c r="O19" s="984"/>
      <c r="P19" s="1111">
        <f t="shared" si="1"/>
        <v>0</v>
      </c>
      <c r="Q19" s="1087"/>
      <c r="R19" s="1088"/>
      <c r="S19" s="1089">
        <f t="shared" si="8"/>
        <v>0.19999999999998863</v>
      </c>
      <c r="V19" s="126"/>
      <c r="W19" s="84">
        <f t="shared" si="9"/>
        <v>0</v>
      </c>
      <c r="X19" s="15"/>
      <c r="Y19" s="983"/>
      <c r="Z19" s="984"/>
      <c r="AA19" s="983">
        <f t="shared" si="2"/>
        <v>0</v>
      </c>
      <c r="AB19" s="687"/>
      <c r="AC19" s="985"/>
      <c r="AD19" s="288">
        <f t="shared" si="10"/>
        <v>0</v>
      </c>
      <c r="AF19" s="126"/>
      <c r="AG19" s="84">
        <f t="shared" si="11"/>
        <v>66</v>
      </c>
      <c r="AH19" s="15"/>
      <c r="AI19" s="983"/>
      <c r="AJ19" s="984"/>
      <c r="AK19" s="983">
        <f t="shared" si="3"/>
        <v>0</v>
      </c>
      <c r="AL19" s="687"/>
      <c r="AM19" s="985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3"/>
      <c r="E20" s="984"/>
      <c r="F20" s="983">
        <f t="shared" si="0"/>
        <v>0</v>
      </c>
      <c r="G20" s="687"/>
      <c r="H20" s="985"/>
      <c r="I20" s="288">
        <f t="shared" si="6"/>
        <v>664.98</v>
      </c>
      <c r="K20" s="126"/>
      <c r="L20" s="84">
        <f t="shared" si="7"/>
        <v>0</v>
      </c>
      <c r="M20" s="15"/>
      <c r="N20" s="983"/>
      <c r="O20" s="984"/>
      <c r="P20" s="1111">
        <f t="shared" si="1"/>
        <v>0</v>
      </c>
      <c r="Q20" s="1087"/>
      <c r="R20" s="1088"/>
      <c r="S20" s="1089">
        <f t="shared" si="8"/>
        <v>0.19999999999998863</v>
      </c>
      <c r="V20" s="126"/>
      <c r="W20" s="84">
        <f t="shared" si="9"/>
        <v>0</v>
      </c>
      <c r="X20" s="15"/>
      <c r="Y20" s="983"/>
      <c r="Z20" s="984"/>
      <c r="AA20" s="983">
        <f t="shared" si="2"/>
        <v>0</v>
      </c>
      <c r="AB20" s="687"/>
      <c r="AC20" s="985"/>
      <c r="AD20" s="288">
        <f t="shared" si="10"/>
        <v>0</v>
      </c>
      <c r="AF20" s="126"/>
      <c r="AG20" s="84">
        <f t="shared" si="11"/>
        <v>66</v>
      </c>
      <c r="AH20" s="15"/>
      <c r="AI20" s="983"/>
      <c r="AJ20" s="984"/>
      <c r="AK20" s="983">
        <f t="shared" si="3"/>
        <v>0</v>
      </c>
      <c r="AL20" s="687"/>
      <c r="AM20" s="985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3"/>
      <c r="E21" s="984"/>
      <c r="F21" s="983">
        <f t="shared" si="0"/>
        <v>0</v>
      </c>
      <c r="G21" s="687"/>
      <c r="H21" s="985"/>
      <c r="I21" s="288">
        <f t="shared" si="6"/>
        <v>664.98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8"/>
        <v>0.19999999999998863</v>
      </c>
      <c r="V21" s="126"/>
      <c r="W21" s="84">
        <f t="shared" si="9"/>
        <v>0</v>
      </c>
      <c r="X21" s="15"/>
      <c r="Y21" s="983"/>
      <c r="Z21" s="984"/>
      <c r="AA21" s="983">
        <f t="shared" si="2"/>
        <v>0</v>
      </c>
      <c r="AB21" s="687"/>
      <c r="AC21" s="985"/>
      <c r="AD21" s="288">
        <f t="shared" si="10"/>
        <v>0</v>
      </c>
      <c r="AF21" s="126"/>
      <c r="AG21" s="84">
        <f t="shared" si="11"/>
        <v>66</v>
      </c>
      <c r="AH21" s="15"/>
      <c r="AI21" s="983"/>
      <c r="AJ21" s="984"/>
      <c r="AK21" s="983">
        <f t="shared" si="3"/>
        <v>0</v>
      </c>
      <c r="AL21" s="687"/>
      <c r="AM21" s="985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3"/>
      <c r="E22" s="984"/>
      <c r="F22" s="983">
        <f t="shared" si="0"/>
        <v>0</v>
      </c>
      <c r="G22" s="687"/>
      <c r="H22" s="985"/>
      <c r="I22" s="288">
        <f t="shared" si="6"/>
        <v>664.98</v>
      </c>
      <c r="K22" s="126"/>
      <c r="L22" s="29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8"/>
        <v>0.19999999999998863</v>
      </c>
      <c r="V22" s="126"/>
      <c r="W22" s="294">
        <f t="shared" si="9"/>
        <v>0</v>
      </c>
      <c r="X22" s="15"/>
      <c r="Y22" s="983"/>
      <c r="Z22" s="984"/>
      <c r="AA22" s="983">
        <f t="shared" si="2"/>
        <v>0</v>
      </c>
      <c r="AB22" s="687"/>
      <c r="AC22" s="985"/>
      <c r="AD22" s="288">
        <f t="shared" si="10"/>
        <v>0</v>
      </c>
      <c r="AF22" s="126"/>
      <c r="AG22" s="294">
        <f t="shared" si="11"/>
        <v>66</v>
      </c>
      <c r="AH22" s="15"/>
      <c r="AI22" s="983"/>
      <c r="AJ22" s="984"/>
      <c r="AK22" s="983">
        <f t="shared" si="3"/>
        <v>0</v>
      </c>
      <c r="AL22" s="687"/>
      <c r="AM22" s="985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3"/>
      <c r="E23" s="984"/>
      <c r="F23" s="983">
        <f t="shared" si="0"/>
        <v>0</v>
      </c>
      <c r="G23" s="687"/>
      <c r="H23" s="985"/>
      <c r="I23" s="288">
        <f t="shared" si="6"/>
        <v>664.98</v>
      </c>
      <c r="K23" s="127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8"/>
        <v>0.19999999999998863</v>
      </c>
      <c r="V23" s="127"/>
      <c r="W23" s="294">
        <f t="shared" si="9"/>
        <v>0</v>
      </c>
      <c r="X23" s="15"/>
      <c r="Y23" s="983"/>
      <c r="Z23" s="984"/>
      <c r="AA23" s="983">
        <f t="shared" si="2"/>
        <v>0</v>
      </c>
      <c r="AB23" s="687"/>
      <c r="AC23" s="985"/>
      <c r="AD23" s="288">
        <f t="shared" si="10"/>
        <v>0</v>
      </c>
      <c r="AF23" s="127"/>
      <c r="AG23" s="294">
        <f t="shared" si="11"/>
        <v>66</v>
      </c>
      <c r="AH23" s="15"/>
      <c r="AI23" s="983"/>
      <c r="AJ23" s="984"/>
      <c r="AK23" s="983">
        <f t="shared" si="3"/>
        <v>0</v>
      </c>
      <c r="AL23" s="687"/>
      <c r="AM23" s="985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3"/>
      <c r="E24" s="984"/>
      <c r="F24" s="983">
        <f t="shared" si="0"/>
        <v>0</v>
      </c>
      <c r="G24" s="687"/>
      <c r="H24" s="985"/>
      <c r="I24" s="288">
        <f t="shared" si="6"/>
        <v>664.98</v>
      </c>
      <c r="K24" s="126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3"/>
      <c r="AJ24" s="984"/>
      <c r="AK24" s="983">
        <f t="shared" si="3"/>
        <v>0</v>
      </c>
      <c r="AL24" s="687"/>
      <c r="AM24" s="985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3"/>
      <c r="E25" s="984"/>
      <c r="F25" s="983">
        <f t="shared" si="0"/>
        <v>0</v>
      </c>
      <c r="G25" s="687"/>
      <c r="H25" s="985"/>
      <c r="I25" s="288">
        <f t="shared" si="6"/>
        <v>664.98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3"/>
      <c r="AJ25" s="984"/>
      <c r="AK25" s="983">
        <f t="shared" si="3"/>
        <v>0</v>
      </c>
      <c r="AL25" s="687"/>
      <c r="AM25" s="985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3"/>
      <c r="E26" s="984"/>
      <c r="F26" s="983">
        <f t="shared" si="0"/>
        <v>0</v>
      </c>
      <c r="G26" s="687"/>
      <c r="H26" s="985"/>
      <c r="I26" s="288">
        <f t="shared" si="6"/>
        <v>664.98</v>
      </c>
      <c r="K26" s="126"/>
      <c r="L26" s="205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3"/>
      <c r="AJ26" s="984"/>
      <c r="AK26" s="983">
        <f t="shared" si="3"/>
        <v>0</v>
      </c>
      <c r="AL26" s="687"/>
      <c r="AM26" s="985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3"/>
      <c r="E27" s="984"/>
      <c r="F27" s="983">
        <f t="shared" si="0"/>
        <v>0</v>
      </c>
      <c r="G27" s="687"/>
      <c r="H27" s="985"/>
      <c r="I27" s="288">
        <f t="shared" si="6"/>
        <v>664.98</v>
      </c>
      <c r="K27" s="126"/>
      <c r="L27" s="294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3"/>
      <c r="AJ27" s="984"/>
      <c r="AK27" s="983">
        <f t="shared" si="3"/>
        <v>0</v>
      </c>
      <c r="AL27" s="687"/>
      <c r="AM27" s="985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3"/>
      <c r="E28" s="984"/>
      <c r="F28" s="983">
        <f t="shared" si="0"/>
        <v>0</v>
      </c>
      <c r="G28" s="687"/>
      <c r="H28" s="985"/>
      <c r="I28" s="288">
        <f t="shared" si="6"/>
        <v>664.98</v>
      </c>
      <c r="K28" s="126"/>
      <c r="L28" s="205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3"/>
      <c r="AJ28" s="984"/>
      <c r="AK28" s="983">
        <f t="shared" si="3"/>
        <v>0</v>
      </c>
      <c r="AL28" s="687"/>
      <c r="AM28" s="985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3"/>
      <c r="E29" s="984"/>
      <c r="F29" s="983">
        <f t="shared" si="0"/>
        <v>0</v>
      </c>
      <c r="G29" s="687"/>
      <c r="H29" s="985"/>
      <c r="I29" s="288">
        <f t="shared" si="6"/>
        <v>664.98</v>
      </c>
      <c r="K29" s="126"/>
      <c r="L29" s="294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3"/>
      <c r="AJ29" s="984"/>
      <c r="AK29" s="983">
        <f t="shared" si="3"/>
        <v>0</v>
      </c>
      <c r="AL29" s="687"/>
      <c r="AM29" s="985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89" t="s">
        <v>11</v>
      </c>
      <c r="D83" s="1190"/>
      <c r="E83" s="58">
        <f>E5+E6-F78+E7</f>
        <v>664.98000000000013</v>
      </c>
      <c r="F83" s="74"/>
      <c r="M83" s="1189" t="s">
        <v>11</v>
      </c>
      <c r="N83" s="1190"/>
      <c r="O83" s="58">
        <f>O5+O6-P78+O7</f>
        <v>0.19999999999993179</v>
      </c>
      <c r="P83" s="74"/>
      <c r="X83" s="1189" t="s">
        <v>11</v>
      </c>
      <c r="Y83" s="1190"/>
      <c r="Z83" s="58">
        <f>Z5+Z6-AA78+Z7</f>
        <v>0</v>
      </c>
      <c r="AA83" s="74"/>
      <c r="AH83" s="1189" t="s">
        <v>11</v>
      </c>
      <c r="AI83" s="1190"/>
      <c r="AJ83" s="58">
        <f>AJ5+AJ6-AK78+AJ7</f>
        <v>794.33000000000015</v>
      </c>
      <c r="AK83" s="74"/>
      <c r="AR83" s="1189" t="s">
        <v>11</v>
      </c>
      <c r="AS83" s="1190"/>
      <c r="AT83" s="58">
        <f>AT5+AT6-AU78+AT7</f>
        <v>403.26</v>
      </c>
      <c r="AU83" s="74"/>
    </row>
  </sheetData>
  <sortState ref="M5:P7">
    <sortCondition ref="N5:N7"/>
  </sortState>
  <mergeCells count="15">
    <mergeCell ref="AP1:AV1"/>
    <mergeCell ref="AQ5:AQ6"/>
    <mergeCell ref="AR83:AS83"/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1" t="s">
        <v>254</v>
      </c>
      <c r="B1" s="1191"/>
      <c r="C1" s="1191"/>
      <c r="D1" s="1191"/>
      <c r="E1" s="1191"/>
      <c r="F1" s="1191"/>
      <c r="G1" s="1191"/>
      <c r="H1" s="11">
        <v>1</v>
      </c>
      <c r="K1" s="1181" t="s">
        <v>246</v>
      </c>
      <c r="L1" s="1181"/>
      <c r="M1" s="1181"/>
      <c r="N1" s="1181"/>
      <c r="O1" s="1181"/>
      <c r="P1" s="1181"/>
      <c r="Q1" s="1181"/>
      <c r="R1" s="378">
        <v>1</v>
      </c>
      <c r="S1" s="631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2"/>
    </row>
    <row r="4" spans="1:20" ht="15.75" customHeight="1" thickTop="1" x14ac:dyDescent="0.25">
      <c r="B4" s="1256" t="s">
        <v>72</v>
      </c>
      <c r="C4" s="132"/>
      <c r="D4" s="141"/>
      <c r="E4" s="87"/>
      <c r="F4" s="74"/>
      <c r="G4" s="475"/>
      <c r="K4" s="76"/>
      <c r="L4" s="76"/>
      <c r="M4" s="624"/>
      <c r="N4" s="261"/>
      <c r="O4" s="259"/>
      <c r="P4" s="256"/>
      <c r="Q4" s="1033"/>
      <c r="R4" s="159"/>
      <c r="S4" s="636"/>
    </row>
    <row r="5" spans="1:20" ht="15" customHeight="1" x14ac:dyDescent="0.25">
      <c r="A5" s="74" t="s">
        <v>67</v>
      </c>
      <c r="B5" s="1257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2" t="s">
        <v>67</v>
      </c>
      <c r="L5" s="1258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3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59"/>
      <c r="M6" s="627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6"/>
      <c r="M7" s="627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4"/>
    </row>
    <row r="9" spans="1:20" ht="15.75" thickTop="1" x14ac:dyDescent="0.25">
      <c r="A9" s="56"/>
      <c r="B9" s="297">
        <f>F4+F5+F6+F7-C9</f>
        <v>59</v>
      </c>
      <c r="C9" s="15">
        <v>2</v>
      </c>
      <c r="D9" s="707">
        <v>51.36</v>
      </c>
      <c r="E9" s="710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7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0"/>
      <c r="E10" s="711"/>
      <c r="F10" s="460">
        <f t="shared" ref="F10:F29" si="0">D10</f>
        <v>0</v>
      </c>
      <c r="G10" s="492"/>
      <c r="H10" s="647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0"/>
      <c r="E11" s="746"/>
      <c r="F11" s="460">
        <f t="shared" si="0"/>
        <v>0</v>
      </c>
      <c r="G11" s="492"/>
      <c r="H11" s="647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0"/>
      <c r="E12" s="746"/>
      <c r="F12" s="460">
        <f t="shared" si="0"/>
        <v>0</v>
      </c>
      <c r="G12" s="492"/>
      <c r="H12" s="647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0"/>
      <c r="E13" s="746"/>
      <c r="F13" s="460">
        <f t="shared" si="0"/>
        <v>0</v>
      </c>
      <c r="G13" s="492"/>
      <c r="H13" s="647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0"/>
      <c r="E14" s="711"/>
      <c r="F14" s="460">
        <f t="shared" si="0"/>
        <v>0</v>
      </c>
      <c r="G14" s="492"/>
      <c r="H14" s="647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0"/>
      <c r="E15" s="711"/>
      <c r="F15" s="460">
        <f t="shared" si="0"/>
        <v>0</v>
      </c>
      <c r="G15" s="492"/>
      <c r="H15" s="647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0"/>
      <c r="E16" s="711"/>
      <c r="F16" s="460">
        <f t="shared" si="0"/>
        <v>0</v>
      </c>
      <c r="G16" s="492"/>
      <c r="H16" s="647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0"/>
      <c r="E17" s="712"/>
      <c r="F17" s="460">
        <f t="shared" si="0"/>
        <v>0</v>
      </c>
      <c r="G17" s="492"/>
      <c r="H17" s="647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0"/>
      <c r="E18" s="712"/>
      <c r="F18" s="460">
        <f t="shared" si="0"/>
        <v>0</v>
      </c>
      <c r="G18" s="492"/>
      <c r="H18" s="647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7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0"/>
      <c r="E19" s="712"/>
      <c r="F19" s="460">
        <f t="shared" si="0"/>
        <v>0</v>
      </c>
      <c r="G19" s="461"/>
      <c r="H19" s="628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7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0"/>
      <c r="E20" s="712"/>
      <c r="F20" s="460">
        <f t="shared" si="0"/>
        <v>0</v>
      </c>
      <c r="G20" s="461"/>
      <c r="H20" s="628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7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0"/>
      <c r="E21" s="712"/>
      <c r="F21" s="460">
        <f t="shared" si="0"/>
        <v>0</v>
      </c>
      <c r="G21" s="461"/>
      <c r="H21" s="628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7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0"/>
      <c r="E22" s="712"/>
      <c r="F22" s="460">
        <f t="shared" si="0"/>
        <v>0</v>
      </c>
      <c r="G22" s="461"/>
      <c r="H22" s="628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7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0"/>
      <c r="E23" s="712"/>
      <c r="F23" s="460">
        <f t="shared" si="0"/>
        <v>0</v>
      </c>
      <c r="G23" s="461"/>
      <c r="H23" s="628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7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08"/>
      <c r="E24" s="712"/>
      <c r="F24" s="460">
        <f t="shared" si="0"/>
        <v>0</v>
      </c>
      <c r="G24" s="461"/>
      <c r="H24" s="628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7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08"/>
      <c r="E25" s="712"/>
      <c r="F25" s="460">
        <f t="shared" si="0"/>
        <v>0</v>
      </c>
      <c r="G25" s="461"/>
      <c r="H25" s="628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7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08"/>
      <c r="E26" s="712"/>
      <c r="F26" s="460">
        <f t="shared" si="0"/>
        <v>0</v>
      </c>
      <c r="G26" s="461"/>
      <c r="H26" s="628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7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08"/>
      <c r="E27" s="712"/>
      <c r="F27" s="460">
        <f t="shared" si="0"/>
        <v>0</v>
      </c>
      <c r="G27" s="461"/>
      <c r="H27" s="628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7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08"/>
      <c r="E28" s="712"/>
      <c r="F28" s="460">
        <f t="shared" si="0"/>
        <v>0</v>
      </c>
      <c r="G28" s="461"/>
      <c r="H28" s="628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7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08"/>
      <c r="E29" s="712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08"/>
      <c r="E30" s="713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08"/>
      <c r="E31" s="714"/>
      <c r="F31" s="491"/>
      <c r="G31" s="497"/>
      <c r="H31" s="497"/>
      <c r="K31" s="47"/>
    </row>
    <row r="32" spans="2:20" ht="15.75" thickBot="1" x14ac:dyDescent="0.3">
      <c r="B32" s="75"/>
      <c r="C32" s="462"/>
      <c r="D32" s="709"/>
      <c r="E32" s="715"/>
      <c r="F32" s="498"/>
      <c r="G32" s="500"/>
      <c r="H32" s="500"/>
      <c r="I32" s="396"/>
      <c r="L32" s="207"/>
      <c r="N32" s="1177" t="s">
        <v>21</v>
      </c>
      <c r="O32" s="1178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0" t="s">
        <v>4</v>
      </c>
      <c r="O33" s="1031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1" t="s">
        <v>259</v>
      </c>
      <c r="B1" s="1191"/>
      <c r="C1" s="1191"/>
      <c r="D1" s="1191"/>
      <c r="E1" s="1191"/>
      <c r="F1" s="1191"/>
      <c r="G1" s="11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86" t="s">
        <v>53</v>
      </c>
      <c r="B5" s="1188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86"/>
      <c r="B6" s="1188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5">
        <v>909.4</v>
      </c>
      <c r="E35" s="811">
        <v>44536</v>
      </c>
      <c r="F35" s="705">
        <f t="shared" si="0"/>
        <v>909.4</v>
      </c>
      <c r="G35" s="706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5"/>
      <c r="E36" s="811"/>
      <c r="F36" s="1111">
        <f t="shared" si="0"/>
        <v>0</v>
      </c>
      <c r="G36" s="1087"/>
      <c r="H36" s="1088"/>
      <c r="I36" s="856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5"/>
      <c r="E37" s="811"/>
      <c r="F37" s="1111">
        <f t="shared" si="0"/>
        <v>0</v>
      </c>
      <c r="G37" s="1087"/>
      <c r="H37" s="1088"/>
      <c r="I37" s="856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5"/>
      <c r="E38" s="811"/>
      <c r="F38" s="1111">
        <f t="shared" si="0"/>
        <v>0</v>
      </c>
      <c r="G38" s="1087"/>
      <c r="H38" s="1088"/>
      <c r="I38" s="856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5"/>
      <c r="E39" s="811"/>
      <c r="F39" s="1111">
        <f t="shared" si="0"/>
        <v>0</v>
      </c>
      <c r="G39" s="1087"/>
      <c r="H39" s="1088"/>
      <c r="I39" s="856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5"/>
      <c r="E40" s="811"/>
      <c r="F40" s="705">
        <f t="shared" si="0"/>
        <v>0</v>
      </c>
      <c r="G40" s="706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5"/>
      <c r="E41" s="811"/>
      <c r="F41" s="705">
        <f t="shared" si="0"/>
        <v>0</v>
      </c>
      <c r="G41" s="706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5"/>
      <c r="E42" s="811"/>
      <c r="F42" s="705">
        <f t="shared" si="0"/>
        <v>0</v>
      </c>
      <c r="G42" s="706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5"/>
      <c r="E43" s="811"/>
      <c r="F43" s="705">
        <f t="shared" si="0"/>
        <v>0</v>
      </c>
      <c r="G43" s="706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5"/>
      <c r="E44" s="811"/>
      <c r="F44" s="705">
        <f t="shared" si="0"/>
        <v>0</v>
      </c>
      <c r="G44" s="706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5"/>
      <c r="E45" s="811"/>
      <c r="F45" s="705">
        <f t="shared" si="0"/>
        <v>0</v>
      </c>
      <c r="G45" s="706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5"/>
      <c r="E46" s="811"/>
      <c r="F46" s="705">
        <f t="shared" si="0"/>
        <v>0</v>
      </c>
      <c r="G46" s="706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5"/>
      <c r="E47" s="811"/>
      <c r="F47" s="705">
        <f t="shared" si="0"/>
        <v>0</v>
      </c>
      <c r="G47" s="706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5"/>
      <c r="E48" s="811"/>
      <c r="F48" s="705">
        <f t="shared" si="0"/>
        <v>0</v>
      </c>
      <c r="G48" s="706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5"/>
      <c r="E49" s="811"/>
      <c r="F49" s="705">
        <f t="shared" si="0"/>
        <v>0</v>
      </c>
      <c r="G49" s="706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89" t="s">
        <v>11</v>
      </c>
      <c r="D60" s="1190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1" t="s">
        <v>260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4"/>
      <c r="C4" s="104"/>
      <c r="D4" s="141"/>
      <c r="E4" s="87"/>
      <c r="F4" s="74"/>
      <c r="G4" s="881"/>
    </row>
    <row r="5" spans="1:9" ht="29.25" x14ac:dyDescent="0.25">
      <c r="A5" s="12" t="s">
        <v>67</v>
      </c>
      <c r="B5" s="880" t="s">
        <v>124</v>
      </c>
      <c r="C5" s="104">
        <v>34</v>
      </c>
      <c r="D5" s="141">
        <v>44494</v>
      </c>
      <c r="E5" s="898">
        <v>2022.78</v>
      </c>
      <c r="F5" s="896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898">
        <v>3497.97</v>
      </c>
      <c r="F6" s="896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0">
        <v>8</v>
      </c>
      <c r="D11" s="920">
        <v>231.09</v>
      </c>
      <c r="E11" s="919">
        <v>44516</v>
      </c>
      <c r="F11" s="920">
        <f t="shared" ref="F11:F30" si="0">D11</f>
        <v>231.09</v>
      </c>
      <c r="G11" s="921" t="s">
        <v>178</v>
      </c>
      <c r="H11" s="922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0">
        <v>1</v>
      </c>
      <c r="D12" s="920">
        <v>29.56</v>
      </c>
      <c r="E12" s="919">
        <v>44520</v>
      </c>
      <c r="F12" s="920">
        <f t="shared" si="0"/>
        <v>29.56</v>
      </c>
      <c r="G12" s="921" t="s">
        <v>202</v>
      </c>
      <c r="H12" s="922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18">
        <v>199.58</v>
      </c>
      <c r="E13" s="919">
        <v>44522</v>
      </c>
      <c r="F13" s="920">
        <f t="shared" si="0"/>
        <v>199.58</v>
      </c>
      <c r="G13" s="921" t="s">
        <v>203</v>
      </c>
      <c r="H13" s="922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18">
        <v>205.88</v>
      </c>
      <c r="E14" s="919">
        <v>44524</v>
      </c>
      <c r="F14" s="920">
        <f t="shared" si="0"/>
        <v>205.88</v>
      </c>
      <c r="G14" s="921" t="s">
        <v>215</v>
      </c>
      <c r="H14" s="922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18">
        <v>146.31</v>
      </c>
      <c r="E15" s="919">
        <v>44525</v>
      </c>
      <c r="F15" s="920">
        <f t="shared" si="0"/>
        <v>146.31</v>
      </c>
      <c r="G15" s="921" t="s">
        <v>218</v>
      </c>
      <c r="H15" s="922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998">
        <v>29.57</v>
      </c>
      <c r="E16" s="999">
        <v>44542</v>
      </c>
      <c r="F16" s="1000">
        <f t="shared" si="0"/>
        <v>29.57</v>
      </c>
      <c r="G16" s="1001" t="s">
        <v>510</v>
      </c>
      <c r="H16" s="1002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998">
        <v>92.09</v>
      </c>
      <c r="E17" s="999">
        <v>44547</v>
      </c>
      <c r="F17" s="1000">
        <f t="shared" si="0"/>
        <v>92.09</v>
      </c>
      <c r="G17" s="1001" t="s">
        <v>536</v>
      </c>
      <c r="H17" s="1002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998">
        <v>200.8</v>
      </c>
      <c r="E18" s="999">
        <v>44549</v>
      </c>
      <c r="F18" s="1000">
        <f t="shared" si="0"/>
        <v>200.8</v>
      </c>
      <c r="G18" s="1001" t="s">
        <v>555</v>
      </c>
      <c r="H18" s="1002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998">
        <v>59.46</v>
      </c>
      <c r="E19" s="999">
        <v>44550</v>
      </c>
      <c r="F19" s="1000">
        <f t="shared" si="0"/>
        <v>59.46</v>
      </c>
      <c r="G19" s="1001" t="s">
        <v>551</v>
      </c>
      <c r="H19" s="1002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998">
        <v>147.29</v>
      </c>
      <c r="E20" s="999">
        <v>44551</v>
      </c>
      <c r="F20" s="1000">
        <f t="shared" si="0"/>
        <v>147.29</v>
      </c>
      <c r="G20" s="1001" t="s">
        <v>570</v>
      </c>
      <c r="H20" s="1002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998">
        <v>197.99</v>
      </c>
      <c r="E21" s="999">
        <v>44560</v>
      </c>
      <c r="F21" s="1000">
        <f t="shared" si="0"/>
        <v>197.99</v>
      </c>
      <c r="G21" s="1003" t="s">
        <v>645</v>
      </c>
      <c r="H21" s="1004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998">
        <v>235.31</v>
      </c>
      <c r="E22" s="999">
        <v>44561</v>
      </c>
      <c r="F22" s="1000">
        <f t="shared" si="0"/>
        <v>235.31</v>
      </c>
      <c r="G22" s="1003" t="s">
        <v>675</v>
      </c>
      <c r="H22" s="1004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998"/>
      <c r="E23" s="999"/>
      <c r="F23" s="1000">
        <f t="shared" si="0"/>
        <v>0</v>
      </c>
      <c r="G23" s="1003"/>
      <c r="H23" s="1004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998"/>
      <c r="E24" s="999"/>
      <c r="F24" s="1000">
        <f t="shared" si="0"/>
        <v>0</v>
      </c>
      <c r="G24" s="1003"/>
      <c r="H24" s="1004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998"/>
      <c r="E25" s="999"/>
      <c r="F25" s="1000">
        <f t="shared" si="0"/>
        <v>0</v>
      </c>
      <c r="G25" s="1003"/>
      <c r="H25" s="1004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998"/>
      <c r="E26" s="999"/>
      <c r="F26" s="1000">
        <f t="shared" si="0"/>
        <v>0</v>
      </c>
      <c r="G26" s="1003"/>
      <c r="H26" s="1004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998"/>
      <c r="E27" s="999"/>
      <c r="F27" s="1000">
        <f t="shared" si="0"/>
        <v>0</v>
      </c>
      <c r="G27" s="1003"/>
      <c r="H27" s="1005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998"/>
      <c r="E28" s="999"/>
      <c r="F28" s="1000">
        <f t="shared" si="0"/>
        <v>0</v>
      </c>
      <c r="G28" s="1003"/>
      <c r="H28" s="1005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998"/>
      <c r="E29" s="999"/>
      <c r="F29" s="1000">
        <f t="shared" si="0"/>
        <v>0</v>
      </c>
      <c r="G29" s="1003"/>
      <c r="H29" s="1005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06"/>
      <c r="E30" s="999"/>
      <c r="F30" s="1000">
        <f t="shared" si="0"/>
        <v>0</v>
      </c>
      <c r="G30" s="1003"/>
      <c r="H30" s="1005"/>
      <c r="I30" s="136">
        <f t="shared" si="2"/>
        <v>3454.7699999999991</v>
      </c>
    </row>
    <row r="31" spans="2:9" x14ac:dyDescent="0.25">
      <c r="B31" s="503"/>
      <c r="C31" s="459"/>
      <c r="D31" s="491"/>
      <c r="E31" s="1096"/>
      <c r="F31" s="491"/>
      <c r="G31" s="496"/>
      <c r="H31" s="495"/>
    </row>
    <row r="32" spans="2:9" x14ac:dyDescent="0.25">
      <c r="B32" s="503"/>
      <c r="C32" s="459"/>
      <c r="D32" s="491"/>
      <c r="E32" s="1097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6" t="s">
        <v>21</v>
      </c>
      <c r="E35" s="877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78" t="s">
        <v>4</v>
      </c>
      <c r="E36" s="87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5"/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123</v>
      </c>
      <c r="C4" s="104"/>
      <c r="D4" s="141"/>
      <c r="E4" s="87"/>
      <c r="F4" s="74"/>
      <c r="G4" s="798"/>
    </row>
    <row r="5" spans="1:9" x14ac:dyDescent="0.25">
      <c r="A5" s="76"/>
      <c r="B5" s="1261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47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47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47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47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47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47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47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47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47"/>
      <c r="E16" s="748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49"/>
      <c r="E17" s="748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47"/>
      <c r="E18" s="748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47"/>
      <c r="E19" s="748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47"/>
      <c r="E20" s="748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47"/>
      <c r="E21" s="748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47"/>
      <c r="E22" s="748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47"/>
      <c r="E23" s="748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47"/>
      <c r="E24" s="748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47"/>
      <c r="E25" s="748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47"/>
      <c r="E26" s="748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1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4" t="s">
        <v>21</v>
      </c>
      <c r="E33" s="79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6" t="s">
        <v>4</v>
      </c>
      <c r="E34" s="79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1" t="s">
        <v>255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61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07">
        <v>18.7</v>
      </c>
      <c r="E9" s="1008">
        <v>44539</v>
      </c>
      <c r="F9" s="1009">
        <f t="shared" si="0"/>
        <v>18.7</v>
      </c>
      <c r="G9" s="1074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07"/>
      <c r="E10" s="1008"/>
      <c r="F10" s="1009">
        <f t="shared" si="0"/>
        <v>0</v>
      </c>
      <c r="G10" s="1076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07"/>
      <c r="E11" s="1008"/>
      <c r="F11" s="1009">
        <f t="shared" si="0"/>
        <v>0</v>
      </c>
      <c r="G11" s="1076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07"/>
      <c r="E12" s="1008"/>
      <c r="F12" s="1009">
        <f t="shared" si="0"/>
        <v>0</v>
      </c>
      <c r="G12" s="1076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07"/>
      <c r="E13" s="1008"/>
      <c r="F13" s="1009">
        <f t="shared" si="0"/>
        <v>0</v>
      </c>
      <c r="G13" s="1076"/>
      <c r="H13" s="279"/>
      <c r="I13" s="47">
        <f t="shared" si="1"/>
        <v>383.34999999999997</v>
      </c>
    </row>
    <row r="14" spans="1:9" x14ac:dyDescent="0.25">
      <c r="B14" s="2"/>
      <c r="C14" s="15"/>
      <c r="D14" s="1007"/>
      <c r="E14" s="1008"/>
      <c r="F14" s="1009">
        <f t="shared" si="0"/>
        <v>0</v>
      </c>
      <c r="G14" s="1076"/>
      <c r="H14" s="279"/>
      <c r="I14" s="47">
        <f t="shared" si="1"/>
        <v>383.34999999999997</v>
      </c>
    </row>
    <row r="15" spans="1:9" x14ac:dyDescent="0.25">
      <c r="B15" s="2"/>
      <c r="C15" s="15"/>
      <c r="D15" s="1007"/>
      <c r="E15" s="1008"/>
      <c r="F15" s="1009">
        <f t="shared" si="0"/>
        <v>0</v>
      </c>
      <c r="G15" s="1077"/>
      <c r="H15" s="72"/>
      <c r="I15" s="47">
        <f t="shared" si="1"/>
        <v>383.34999999999997</v>
      </c>
    </row>
    <row r="16" spans="1:9" x14ac:dyDescent="0.25">
      <c r="B16" s="2"/>
      <c r="C16" s="15"/>
      <c r="D16" s="1007"/>
      <c r="E16" s="1010"/>
      <c r="F16" s="1009">
        <f t="shared" si="0"/>
        <v>0</v>
      </c>
      <c r="G16" s="1077"/>
      <c r="H16" s="72"/>
      <c r="I16" s="47">
        <f t="shared" si="1"/>
        <v>383.34999999999997</v>
      </c>
    </row>
    <row r="17" spans="1:9" x14ac:dyDescent="0.25">
      <c r="B17" s="2"/>
      <c r="C17" s="15"/>
      <c r="D17" s="1011"/>
      <c r="E17" s="1010"/>
      <c r="F17" s="1009">
        <f t="shared" si="0"/>
        <v>0</v>
      </c>
      <c r="G17" s="1077"/>
      <c r="H17" s="72"/>
      <c r="I17" s="47">
        <f t="shared" si="1"/>
        <v>383.34999999999997</v>
      </c>
    </row>
    <row r="18" spans="1:9" x14ac:dyDescent="0.25">
      <c r="B18" s="2"/>
      <c r="C18" s="15"/>
      <c r="D18" s="1007"/>
      <c r="E18" s="1010"/>
      <c r="F18" s="1009">
        <f t="shared" si="0"/>
        <v>0</v>
      </c>
      <c r="G18" s="1077"/>
      <c r="H18" s="72"/>
      <c r="I18" s="47">
        <f t="shared" si="1"/>
        <v>383.34999999999997</v>
      </c>
    </row>
    <row r="19" spans="1:9" x14ac:dyDescent="0.25">
      <c r="B19" s="2"/>
      <c r="C19" s="15"/>
      <c r="D19" s="1007"/>
      <c r="E19" s="1010"/>
      <c r="F19" s="1009">
        <f t="shared" si="0"/>
        <v>0</v>
      </c>
      <c r="G19" s="1077"/>
      <c r="H19" s="72"/>
    </row>
    <row r="20" spans="1:9" x14ac:dyDescent="0.25">
      <c r="B20" s="2"/>
      <c r="C20" s="15"/>
      <c r="D20" s="1007"/>
      <c r="E20" s="1010"/>
      <c r="F20" s="1009">
        <f t="shared" si="0"/>
        <v>0</v>
      </c>
      <c r="G20" s="1077"/>
      <c r="H20" s="72"/>
    </row>
    <row r="21" spans="1:9" x14ac:dyDescent="0.25">
      <c r="B21" s="2"/>
      <c r="C21" s="15"/>
      <c r="D21" s="1007"/>
      <c r="E21" s="1010"/>
      <c r="F21" s="1009">
        <f t="shared" si="0"/>
        <v>0</v>
      </c>
      <c r="G21" s="1077"/>
      <c r="H21" s="72"/>
    </row>
    <row r="22" spans="1:9" x14ac:dyDescent="0.25">
      <c r="B22" s="2"/>
      <c r="C22" s="15"/>
      <c r="D22" s="1007"/>
      <c r="E22" s="1010"/>
      <c r="F22" s="1009">
        <f t="shared" si="0"/>
        <v>0</v>
      </c>
      <c r="G22" s="1077"/>
      <c r="H22" s="72"/>
    </row>
    <row r="23" spans="1:9" x14ac:dyDescent="0.25">
      <c r="B23" s="2"/>
      <c r="C23" s="15"/>
      <c r="D23" s="1007"/>
      <c r="E23" s="1010"/>
      <c r="F23" s="1009">
        <f t="shared" si="0"/>
        <v>0</v>
      </c>
      <c r="G23" s="1077"/>
      <c r="H23" s="72"/>
    </row>
    <row r="24" spans="1:9" x14ac:dyDescent="0.25">
      <c r="B24" s="2"/>
      <c r="C24" s="15"/>
      <c r="D24" s="1007"/>
      <c r="E24" s="1010"/>
      <c r="F24" s="1009">
        <f t="shared" si="0"/>
        <v>0</v>
      </c>
      <c r="G24" s="1075"/>
      <c r="H24" s="72"/>
    </row>
    <row r="25" spans="1:9" x14ac:dyDescent="0.25">
      <c r="B25" s="2"/>
      <c r="C25" s="15"/>
      <c r="D25" s="1007"/>
      <c r="E25" s="1010"/>
      <c r="F25" s="1009">
        <f t="shared" si="0"/>
        <v>0</v>
      </c>
      <c r="G25" s="1075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91" t="s">
        <v>254</v>
      </c>
      <c r="B1" s="1191"/>
      <c r="C1" s="1191"/>
      <c r="D1" s="1191"/>
      <c r="E1" s="1191"/>
      <c r="F1" s="1191"/>
      <c r="G1" s="1191"/>
      <c r="H1" s="11">
        <v>1</v>
      </c>
      <c r="K1" s="1195" t="s">
        <v>265</v>
      </c>
      <c r="L1" s="1195"/>
      <c r="M1" s="1195"/>
      <c r="N1" s="1195"/>
      <c r="O1" s="1195"/>
      <c r="P1" s="1195"/>
      <c r="Q1" s="11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1"/>
      <c r="B4" s="1196" t="s">
        <v>164</v>
      </c>
      <c r="C4" s="338"/>
      <c r="D4" s="261"/>
      <c r="E4" s="836"/>
      <c r="F4" s="256"/>
      <c r="G4" s="166"/>
      <c r="H4" s="166"/>
      <c r="K4" s="751"/>
      <c r="L4" s="1196" t="s">
        <v>164</v>
      </c>
      <c r="M4" s="338"/>
      <c r="N4" s="261"/>
      <c r="O4" s="836"/>
      <c r="P4" s="256"/>
      <c r="Q4" s="166"/>
      <c r="R4" s="166"/>
    </row>
    <row r="5" spans="1:19" ht="15" customHeight="1" x14ac:dyDescent="0.25">
      <c r="A5" s="1184" t="s">
        <v>53</v>
      </c>
      <c r="B5" s="1193"/>
      <c r="C5" s="338">
        <v>150</v>
      </c>
      <c r="D5" s="261">
        <v>44515</v>
      </c>
      <c r="E5" s="836">
        <v>18217</v>
      </c>
      <c r="F5" s="256">
        <v>590</v>
      </c>
      <c r="G5" s="273"/>
      <c r="K5" s="1184" t="s">
        <v>268</v>
      </c>
      <c r="L5" s="1193"/>
      <c r="M5" s="338"/>
      <c r="N5" s="261"/>
      <c r="O5" s="836"/>
      <c r="P5" s="256"/>
      <c r="Q5" s="273"/>
    </row>
    <row r="6" spans="1:19" x14ac:dyDescent="0.25">
      <c r="A6" s="1184"/>
      <c r="B6" s="1193"/>
      <c r="C6" s="638"/>
      <c r="D6" s="261"/>
      <c r="E6" s="837">
        <v>1691.25</v>
      </c>
      <c r="F6" s="74">
        <v>18</v>
      </c>
      <c r="G6" s="275">
        <f>F79</f>
        <v>10948</v>
      </c>
      <c r="H6" s="7">
        <f>E6-G6+E7+E5-G5+E4</f>
        <v>8960.25</v>
      </c>
      <c r="K6" s="1184"/>
      <c r="L6" s="1193"/>
      <c r="M6" s="638"/>
      <c r="N6" s="261"/>
      <c r="O6" s="837"/>
      <c r="P6" s="74"/>
      <c r="Q6" s="275">
        <f>P79</f>
        <v>0</v>
      </c>
      <c r="R6" s="7">
        <f>O6-Q6+O7+O5-Q5+O4</f>
        <v>0</v>
      </c>
    </row>
    <row r="7" spans="1:19" x14ac:dyDescent="0.25">
      <c r="A7" s="751"/>
      <c r="B7" s="285"/>
      <c r="C7" s="296"/>
      <c r="D7" s="287"/>
      <c r="E7" s="836"/>
      <c r="F7" s="256"/>
      <c r="G7" s="253"/>
      <c r="K7" s="751"/>
      <c r="L7" s="285"/>
      <c r="M7" s="296"/>
      <c r="N7" s="287"/>
      <c r="O7" s="836"/>
      <c r="P7" s="256"/>
      <c r="Q7" s="253"/>
    </row>
    <row r="8" spans="1:19" ht="15.75" thickBot="1" x14ac:dyDescent="0.3">
      <c r="A8" s="751"/>
      <c r="B8" s="285"/>
      <c r="C8" s="296"/>
      <c r="D8" s="287"/>
      <c r="E8" s="836"/>
      <c r="F8" s="256"/>
      <c r="G8" s="253"/>
      <c r="K8" s="751"/>
      <c r="L8" s="285"/>
      <c r="M8" s="296"/>
      <c r="N8" s="287"/>
      <c r="O8" s="836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1">
        <v>863.59</v>
      </c>
      <c r="E11" s="984">
        <v>44537</v>
      </c>
      <c r="F11" s="983">
        <f t="shared" si="0"/>
        <v>863.59</v>
      </c>
      <c r="G11" s="687" t="s">
        <v>446</v>
      </c>
      <c r="H11" s="985">
        <v>155</v>
      </c>
      <c r="I11" s="288">
        <f>I10-F11</f>
        <v>18223.419999999998</v>
      </c>
      <c r="K11" s="217"/>
      <c r="L11" s="84">
        <f>L10-M11</f>
        <v>0</v>
      </c>
      <c r="M11" s="15"/>
      <c r="N11" s="983"/>
      <c r="O11" s="984"/>
      <c r="P11" s="983">
        <f t="shared" si="1"/>
        <v>0</v>
      </c>
      <c r="Q11" s="687"/>
      <c r="R11" s="985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3">
        <v>28.03</v>
      </c>
      <c r="E12" s="984">
        <v>44537</v>
      </c>
      <c r="F12" s="983">
        <f t="shared" si="0"/>
        <v>28.03</v>
      </c>
      <c r="G12" s="687" t="s">
        <v>451</v>
      </c>
      <c r="H12" s="985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3"/>
      <c r="O12" s="984"/>
      <c r="P12" s="983">
        <f t="shared" si="1"/>
        <v>0</v>
      </c>
      <c r="Q12" s="687"/>
      <c r="R12" s="985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3">
        <v>0</v>
      </c>
      <c r="E13" s="984"/>
      <c r="F13" s="983">
        <f t="shared" si="0"/>
        <v>0</v>
      </c>
      <c r="G13" s="687"/>
      <c r="H13" s="985"/>
      <c r="I13" s="288">
        <f t="shared" si="3"/>
        <v>18195.39</v>
      </c>
      <c r="K13" s="205"/>
      <c r="L13" s="84">
        <f t="shared" si="4"/>
        <v>0</v>
      </c>
      <c r="M13" s="15"/>
      <c r="N13" s="983"/>
      <c r="O13" s="984"/>
      <c r="P13" s="983">
        <f t="shared" si="1"/>
        <v>0</v>
      </c>
      <c r="Q13" s="687"/>
      <c r="R13" s="985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3">
        <v>53.52</v>
      </c>
      <c r="E14" s="984">
        <v>44539</v>
      </c>
      <c r="F14" s="983">
        <f t="shared" si="0"/>
        <v>53.52</v>
      </c>
      <c r="G14" s="687" t="s">
        <v>490</v>
      </c>
      <c r="H14" s="985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3"/>
      <c r="O14" s="984"/>
      <c r="P14" s="983">
        <f t="shared" si="1"/>
        <v>0</v>
      </c>
      <c r="Q14" s="687"/>
      <c r="R14" s="985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3">
        <v>1151.5</v>
      </c>
      <c r="E15" s="984">
        <v>44540</v>
      </c>
      <c r="F15" s="983">
        <f t="shared" si="0"/>
        <v>1151.5</v>
      </c>
      <c r="G15" s="687" t="s">
        <v>502</v>
      </c>
      <c r="H15" s="985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3"/>
      <c r="O15" s="984"/>
      <c r="P15" s="983">
        <f t="shared" si="1"/>
        <v>0</v>
      </c>
      <c r="Q15" s="687"/>
      <c r="R15" s="985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3">
        <v>516.39</v>
      </c>
      <c r="E16" s="984">
        <v>44541</v>
      </c>
      <c r="F16" s="983">
        <f t="shared" si="0"/>
        <v>516.39</v>
      </c>
      <c r="G16" s="687" t="s">
        <v>505</v>
      </c>
      <c r="H16" s="985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3"/>
      <c r="O16" s="984"/>
      <c r="P16" s="983">
        <f t="shared" si="1"/>
        <v>0</v>
      </c>
      <c r="Q16" s="687"/>
      <c r="R16" s="985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3">
        <v>1064.5</v>
      </c>
      <c r="E17" s="984">
        <v>44543</v>
      </c>
      <c r="F17" s="983">
        <f t="shared" si="0"/>
        <v>1064.5</v>
      </c>
      <c r="G17" s="687" t="s">
        <v>475</v>
      </c>
      <c r="H17" s="985">
        <v>155</v>
      </c>
      <c r="I17" s="288">
        <f t="shared" si="3"/>
        <v>15409.48</v>
      </c>
      <c r="L17" s="84">
        <f t="shared" si="4"/>
        <v>0</v>
      </c>
      <c r="M17" s="15"/>
      <c r="N17" s="983"/>
      <c r="O17" s="984"/>
      <c r="P17" s="983">
        <f t="shared" si="1"/>
        <v>0</v>
      </c>
      <c r="Q17" s="687"/>
      <c r="R17" s="985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3">
        <v>25.45</v>
      </c>
      <c r="E18" s="984">
        <v>44544</v>
      </c>
      <c r="F18" s="983">
        <f t="shared" si="0"/>
        <v>25.45</v>
      </c>
      <c r="G18" s="687" t="s">
        <v>520</v>
      </c>
      <c r="H18" s="985">
        <v>155</v>
      </c>
      <c r="I18" s="288">
        <f t="shared" si="3"/>
        <v>15384.029999999999</v>
      </c>
      <c r="L18" s="84">
        <f t="shared" si="4"/>
        <v>0</v>
      </c>
      <c r="M18" s="15"/>
      <c r="N18" s="983"/>
      <c r="O18" s="984"/>
      <c r="P18" s="983">
        <f t="shared" si="1"/>
        <v>0</v>
      </c>
      <c r="Q18" s="687"/>
      <c r="R18" s="985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3">
        <v>294.98</v>
      </c>
      <c r="E19" s="984">
        <v>44544</v>
      </c>
      <c r="F19" s="983">
        <f t="shared" si="0"/>
        <v>294.98</v>
      </c>
      <c r="G19" s="687" t="s">
        <v>486</v>
      </c>
      <c r="H19" s="985">
        <v>155</v>
      </c>
      <c r="I19" s="288">
        <f t="shared" si="3"/>
        <v>15089.05</v>
      </c>
      <c r="K19" s="126"/>
      <c r="L19" s="84">
        <f>L18-M19</f>
        <v>0</v>
      </c>
      <c r="M19" s="15"/>
      <c r="N19" s="983"/>
      <c r="O19" s="984"/>
      <c r="P19" s="983">
        <f t="shared" si="1"/>
        <v>0</v>
      </c>
      <c r="Q19" s="687"/>
      <c r="R19" s="985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3">
        <v>27.4</v>
      </c>
      <c r="E20" s="984">
        <v>44545</v>
      </c>
      <c r="F20" s="983">
        <f t="shared" si="0"/>
        <v>27.4</v>
      </c>
      <c r="G20" s="687" t="s">
        <v>527</v>
      </c>
      <c r="H20" s="985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3"/>
      <c r="O20" s="984"/>
      <c r="P20" s="983">
        <f t="shared" si="1"/>
        <v>0</v>
      </c>
      <c r="Q20" s="687"/>
      <c r="R20" s="985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3">
        <v>55.57</v>
      </c>
      <c r="E21" s="984">
        <v>44548</v>
      </c>
      <c r="F21" s="983">
        <f t="shared" si="0"/>
        <v>55.57</v>
      </c>
      <c r="G21" s="687" t="s">
        <v>546</v>
      </c>
      <c r="H21" s="985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3">
        <v>1121.07</v>
      </c>
      <c r="E22" s="984">
        <v>44548</v>
      </c>
      <c r="F22" s="983">
        <f t="shared" si="0"/>
        <v>1121.07</v>
      </c>
      <c r="G22" s="687" t="s">
        <v>547</v>
      </c>
      <c r="H22" s="985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3">
        <v>28.67</v>
      </c>
      <c r="E23" s="984">
        <v>44548</v>
      </c>
      <c r="F23" s="983">
        <f t="shared" si="0"/>
        <v>28.67</v>
      </c>
      <c r="G23" s="687" t="s">
        <v>549</v>
      </c>
      <c r="H23" s="985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3">
        <v>270.12</v>
      </c>
      <c r="E24" s="984">
        <v>44550</v>
      </c>
      <c r="F24" s="983">
        <f t="shared" si="0"/>
        <v>270.12</v>
      </c>
      <c r="G24" s="687" t="s">
        <v>556</v>
      </c>
      <c r="H24" s="985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3">
        <v>1068.82</v>
      </c>
      <c r="E25" s="984">
        <v>44551</v>
      </c>
      <c r="F25" s="983">
        <f t="shared" si="0"/>
        <v>1068.82</v>
      </c>
      <c r="G25" s="687" t="s">
        <v>570</v>
      </c>
      <c r="H25" s="985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3">
        <v>29.85</v>
      </c>
      <c r="E26" s="984">
        <v>44552</v>
      </c>
      <c r="F26" s="983">
        <f t="shared" si="0"/>
        <v>29.85</v>
      </c>
      <c r="G26" s="687" t="s">
        <v>586</v>
      </c>
      <c r="H26" s="985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3">
        <v>56.48</v>
      </c>
      <c r="E27" s="984">
        <v>44553</v>
      </c>
      <c r="F27" s="983">
        <f t="shared" si="0"/>
        <v>56.48</v>
      </c>
      <c r="G27" s="687" t="s">
        <v>596</v>
      </c>
      <c r="H27" s="985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3">
        <v>28.76</v>
      </c>
      <c r="E28" s="984">
        <v>44553</v>
      </c>
      <c r="F28" s="983">
        <f t="shared" si="0"/>
        <v>28.76</v>
      </c>
      <c r="G28" s="687" t="s">
        <v>601</v>
      </c>
      <c r="H28" s="985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3">
        <v>904.19</v>
      </c>
      <c r="E29" s="984">
        <v>44554</v>
      </c>
      <c r="F29" s="983">
        <f t="shared" si="0"/>
        <v>904.19</v>
      </c>
      <c r="G29" s="687" t="s">
        <v>609</v>
      </c>
      <c r="H29" s="985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3">
        <v>598.11</v>
      </c>
      <c r="E30" s="984">
        <v>44556</v>
      </c>
      <c r="F30" s="983">
        <f t="shared" si="0"/>
        <v>598.11</v>
      </c>
      <c r="G30" s="687" t="s">
        <v>620</v>
      </c>
      <c r="H30" s="985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3"/>
      <c r="O30" s="984"/>
      <c r="P30" s="983">
        <f t="shared" si="1"/>
        <v>0</v>
      </c>
      <c r="Q30" s="687"/>
      <c r="R30" s="985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3">
        <v>294.42</v>
      </c>
      <c r="E31" s="984">
        <v>44556</v>
      </c>
      <c r="F31" s="983">
        <f t="shared" si="0"/>
        <v>294.42</v>
      </c>
      <c r="G31" s="687" t="s">
        <v>621</v>
      </c>
      <c r="H31" s="985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2"/>
      <c r="P31" s="355">
        <f t="shared" si="1"/>
        <v>0</v>
      </c>
      <c r="Q31" s="853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3">
        <v>151.72999999999999</v>
      </c>
      <c r="E32" s="984">
        <v>44557</v>
      </c>
      <c r="F32" s="983">
        <f t="shared" si="0"/>
        <v>151.72999999999999</v>
      </c>
      <c r="G32" s="687" t="s">
        <v>624</v>
      </c>
      <c r="H32" s="985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3">
        <v>319.94</v>
      </c>
      <c r="E33" s="984">
        <v>44560</v>
      </c>
      <c r="F33" s="983">
        <f t="shared" si="0"/>
        <v>319.94</v>
      </c>
      <c r="G33" s="687" t="s">
        <v>657</v>
      </c>
      <c r="H33" s="985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3">
        <v>27.35</v>
      </c>
      <c r="E34" s="984">
        <v>44561</v>
      </c>
      <c r="F34" s="983">
        <f t="shared" si="0"/>
        <v>27.35</v>
      </c>
      <c r="G34" s="687" t="s">
        <v>671</v>
      </c>
      <c r="H34" s="985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3">
        <v>1091.1099999999999</v>
      </c>
      <c r="E35" s="984">
        <v>44561</v>
      </c>
      <c r="F35" s="983">
        <f t="shared" si="0"/>
        <v>1091.1099999999999</v>
      </c>
      <c r="G35" s="687" t="s">
        <v>675</v>
      </c>
      <c r="H35" s="985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3">
        <v>55.21</v>
      </c>
      <c r="E36" s="984">
        <v>44561</v>
      </c>
      <c r="F36" s="983">
        <f t="shared" si="0"/>
        <v>55.21</v>
      </c>
      <c r="G36" s="687" t="s">
        <v>676</v>
      </c>
      <c r="H36" s="985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3"/>
      <c r="E37" s="984"/>
      <c r="F37" s="983">
        <f t="shared" si="0"/>
        <v>0</v>
      </c>
      <c r="G37" s="687"/>
      <c r="H37" s="985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3"/>
      <c r="E38" s="984"/>
      <c r="F38" s="983">
        <f t="shared" si="0"/>
        <v>0</v>
      </c>
      <c r="G38" s="687"/>
      <c r="H38" s="985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3"/>
      <c r="E39" s="984"/>
      <c r="F39" s="983">
        <f t="shared" si="0"/>
        <v>0</v>
      </c>
      <c r="G39" s="687"/>
      <c r="H39" s="985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3"/>
      <c r="E40" s="984"/>
      <c r="F40" s="983">
        <f t="shared" si="0"/>
        <v>0</v>
      </c>
      <c r="G40" s="687"/>
      <c r="H40" s="985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3"/>
      <c r="E41" s="984"/>
      <c r="F41" s="983">
        <f t="shared" si="0"/>
        <v>0</v>
      </c>
      <c r="G41" s="687"/>
      <c r="H41" s="985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89" t="s">
        <v>11</v>
      </c>
      <c r="D84" s="1190"/>
      <c r="E84" s="58">
        <f>E5+E6-F79+E7</f>
        <v>8960.25</v>
      </c>
      <c r="F84" s="74"/>
      <c r="M84" s="1189" t="s">
        <v>11</v>
      </c>
      <c r="N84" s="1190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5" t="s">
        <v>265</v>
      </c>
      <c r="B1" s="1195"/>
      <c r="C1" s="1195"/>
      <c r="D1" s="1195"/>
      <c r="E1" s="1195"/>
      <c r="F1" s="1195"/>
      <c r="G1" s="11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197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85" t="s">
        <v>278</v>
      </c>
      <c r="B5" s="1198"/>
      <c r="C5" s="284" t="s">
        <v>270</v>
      </c>
      <c r="D5" s="261">
        <v>44541</v>
      </c>
      <c r="E5" s="272">
        <v>18701.099999999999</v>
      </c>
      <c r="F5" s="266">
        <v>24</v>
      </c>
      <c r="G5" s="1086">
        <v>18480</v>
      </c>
    </row>
    <row r="6" spans="1:9" x14ac:dyDescent="0.25">
      <c r="A6" s="1185"/>
      <c r="B6" s="1198"/>
      <c r="C6" s="624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85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16"/>
      <c r="C9" s="775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17"/>
      <c r="C10" s="775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17"/>
      <c r="C11" s="775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17"/>
      <c r="C12" s="775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17"/>
      <c r="C13" s="775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17"/>
      <c r="C14" s="775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17"/>
      <c r="C15" s="775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17"/>
      <c r="C16" s="775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17"/>
      <c r="C17" s="775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17"/>
      <c r="C18" s="775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17"/>
      <c r="C19" s="775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17"/>
      <c r="C20" s="775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5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5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5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5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5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5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5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5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5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5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5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5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5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18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5" t="s">
        <v>338</v>
      </c>
      <c r="B1" s="1195"/>
      <c r="C1" s="1195"/>
      <c r="D1" s="1195"/>
      <c r="E1" s="1195"/>
      <c r="F1" s="1195"/>
      <c r="G1" s="1195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86" t="s">
        <v>339</v>
      </c>
      <c r="B5" s="1199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86"/>
      <c r="B6" s="1199"/>
      <c r="C6" s="799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2">
        <f t="shared" si="0"/>
        <v>0</v>
      </c>
      <c r="G11" s="1093"/>
      <c r="H11" s="1094"/>
      <c r="I11" s="1095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2">
        <f t="shared" ref="F12" si="2">D12</f>
        <v>0</v>
      </c>
      <c r="G12" s="1093"/>
      <c r="H12" s="1094"/>
      <c r="I12" s="1095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2">
        <f t="shared" ref="F13:F33" si="4">D13</f>
        <v>0</v>
      </c>
      <c r="G13" s="1093"/>
      <c r="H13" s="1094"/>
      <c r="I13" s="1095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5" t="s">
        <v>163</v>
      </c>
      <c r="B1" s="1195"/>
      <c r="C1" s="1195"/>
      <c r="D1" s="1195"/>
      <c r="E1" s="1195"/>
      <c r="F1" s="1195"/>
      <c r="G1" s="119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2"/>
      <c r="B5" s="1186"/>
      <c r="C5" s="953"/>
      <c r="D5" s="954"/>
      <c r="E5" s="955"/>
      <c r="F5" s="956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200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8"/>
      <c r="B8" s="849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77" t="s">
        <v>21</v>
      </c>
      <c r="E38" s="1178"/>
      <c r="F38" s="147">
        <f>E4+E5-F36+E6</f>
        <v>0</v>
      </c>
    </row>
    <row r="39" spans="1:9" ht="15.75" thickBot="1" x14ac:dyDescent="0.3">
      <c r="A39" s="129"/>
      <c r="D39" s="846" t="s">
        <v>4</v>
      </c>
      <c r="E39" s="847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91" t="s">
        <v>255</v>
      </c>
      <c r="B1" s="1191"/>
      <c r="C1" s="1191"/>
      <c r="D1" s="1191"/>
      <c r="E1" s="1191"/>
      <c r="F1" s="1191"/>
      <c r="G1" s="1191"/>
      <c r="H1" s="11">
        <v>1</v>
      </c>
      <c r="L1" s="1195" t="s">
        <v>246</v>
      </c>
      <c r="M1" s="1195"/>
      <c r="N1" s="1195"/>
      <c r="O1" s="1195"/>
      <c r="P1" s="1195"/>
      <c r="Q1" s="1195"/>
      <c r="R1" s="1195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86" t="s">
        <v>166</v>
      </c>
      <c r="B5" s="1201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86" t="s">
        <v>166</v>
      </c>
      <c r="M5" s="1201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86"/>
      <c r="B6" s="1202"/>
      <c r="C6" s="262"/>
      <c r="D6" s="160"/>
      <c r="E6" s="87"/>
      <c r="F6" s="74"/>
      <c r="G6" s="253"/>
      <c r="L6" s="1186"/>
      <c r="M6" s="1202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3">
        <v>39</v>
      </c>
      <c r="I8" s="824">
        <f>E4+E5+E6-F8</f>
        <v>5850</v>
      </c>
      <c r="J8" s="774">
        <f>H8*F8</f>
        <v>25350</v>
      </c>
      <c r="L8" s="56" t="s">
        <v>32</v>
      </c>
      <c r="M8" s="205">
        <v>13</v>
      </c>
      <c r="N8" s="775">
        <v>50</v>
      </c>
      <c r="O8" s="70">
        <f t="shared" ref="O8" si="1">N8*M8</f>
        <v>650</v>
      </c>
      <c r="P8" s="343">
        <v>44551</v>
      </c>
      <c r="Q8" s="777">
        <f t="shared" ref="Q8" si="2">O8</f>
        <v>650</v>
      </c>
      <c r="R8" s="278" t="s">
        <v>561</v>
      </c>
      <c r="S8" s="300">
        <v>39</v>
      </c>
      <c r="T8" s="824">
        <f>P4+P5+P6-Q8</f>
        <v>7878</v>
      </c>
      <c r="U8" s="774">
        <f>S8*Q8</f>
        <v>25350</v>
      </c>
    </row>
    <row r="9" spans="1:21" ht="15.75" x14ac:dyDescent="0.25">
      <c r="B9" s="205">
        <v>13</v>
      </c>
      <c r="C9" s="775">
        <v>50</v>
      </c>
      <c r="D9" s="70">
        <f t="shared" ref="D9:D39" si="3">C9*B9</f>
        <v>650</v>
      </c>
      <c r="E9" s="343">
        <v>44529</v>
      </c>
      <c r="F9" s="825">
        <f t="shared" si="0"/>
        <v>650</v>
      </c>
      <c r="G9" s="278" t="s">
        <v>249</v>
      </c>
      <c r="H9" s="300">
        <v>39</v>
      </c>
      <c r="I9" s="826">
        <f>I8-F9</f>
        <v>5200</v>
      </c>
      <c r="J9" s="823">
        <f t="shared" ref="J9:J39" si="4">H9*F9</f>
        <v>25350</v>
      </c>
      <c r="M9" s="205">
        <v>13</v>
      </c>
      <c r="N9" s="775">
        <v>6</v>
      </c>
      <c r="O9" s="70">
        <f t="shared" ref="O9:O39" si="5">N9*M9</f>
        <v>78</v>
      </c>
      <c r="P9" s="343">
        <v>44552</v>
      </c>
      <c r="Q9" s="825">
        <f t="shared" ref="Q9:Q15" si="6">O9</f>
        <v>78</v>
      </c>
      <c r="R9" s="278" t="s">
        <v>585</v>
      </c>
      <c r="S9" s="300">
        <v>39</v>
      </c>
      <c r="T9" s="826">
        <f>T8-Q9</f>
        <v>7800</v>
      </c>
      <c r="U9" s="823">
        <f t="shared" ref="U9:U39" si="7">S9*Q9</f>
        <v>3042</v>
      </c>
    </row>
    <row r="10" spans="1:21" ht="15.75" x14ac:dyDescent="0.25">
      <c r="B10" s="205">
        <v>13</v>
      </c>
      <c r="C10" s="775">
        <v>50</v>
      </c>
      <c r="D10" s="70">
        <f t="shared" si="3"/>
        <v>650</v>
      </c>
      <c r="E10" s="343">
        <v>44533</v>
      </c>
      <c r="F10" s="825">
        <f t="shared" si="0"/>
        <v>650</v>
      </c>
      <c r="G10" s="278" t="s">
        <v>239</v>
      </c>
      <c r="H10" s="300">
        <v>39</v>
      </c>
      <c r="I10" s="826">
        <f t="shared" ref="I10:I38" si="8">I9-F10</f>
        <v>4550</v>
      </c>
      <c r="J10" s="823">
        <f t="shared" si="4"/>
        <v>25350</v>
      </c>
      <c r="M10" s="205">
        <v>13</v>
      </c>
      <c r="N10" s="775">
        <v>2</v>
      </c>
      <c r="O10" s="70">
        <f t="shared" si="5"/>
        <v>26</v>
      </c>
      <c r="P10" s="343">
        <v>44558</v>
      </c>
      <c r="Q10" s="825">
        <f t="shared" si="6"/>
        <v>26</v>
      </c>
      <c r="R10" s="278" t="s">
        <v>630</v>
      </c>
      <c r="S10" s="300">
        <v>41</v>
      </c>
      <c r="T10" s="826">
        <f t="shared" ref="T10:T38" si="9">T9-Q10</f>
        <v>7774</v>
      </c>
      <c r="U10" s="823">
        <f t="shared" si="7"/>
        <v>1066</v>
      </c>
    </row>
    <row r="11" spans="1:21" ht="15.75" x14ac:dyDescent="0.25">
      <c r="A11" s="56" t="s">
        <v>33</v>
      </c>
      <c r="B11" s="205">
        <v>13</v>
      </c>
      <c r="C11" s="775">
        <v>1</v>
      </c>
      <c r="D11" s="705">
        <f t="shared" si="3"/>
        <v>13</v>
      </c>
      <c r="E11" s="986">
        <v>44536</v>
      </c>
      <c r="F11" s="987">
        <f t="shared" si="0"/>
        <v>13</v>
      </c>
      <c r="G11" s="687" t="s">
        <v>441</v>
      </c>
      <c r="H11" s="988">
        <v>39</v>
      </c>
      <c r="I11" s="826">
        <f t="shared" si="8"/>
        <v>4537</v>
      </c>
      <c r="J11" s="823">
        <f t="shared" si="4"/>
        <v>507</v>
      </c>
      <c r="L11" s="56" t="s">
        <v>33</v>
      </c>
      <c r="M11" s="205">
        <v>13</v>
      </c>
      <c r="N11" s="775">
        <v>3</v>
      </c>
      <c r="O11" s="70">
        <f t="shared" si="5"/>
        <v>39</v>
      </c>
      <c r="P11" s="343">
        <v>44558</v>
      </c>
      <c r="Q11" s="825">
        <f t="shared" si="6"/>
        <v>39</v>
      </c>
      <c r="R11" s="278" t="s">
        <v>631</v>
      </c>
      <c r="S11" s="300">
        <v>41</v>
      </c>
      <c r="T11" s="826">
        <f t="shared" si="9"/>
        <v>7735</v>
      </c>
      <c r="U11" s="823">
        <f t="shared" si="7"/>
        <v>1599</v>
      </c>
    </row>
    <row r="12" spans="1:21" ht="15.75" x14ac:dyDescent="0.25">
      <c r="B12" s="205">
        <v>13</v>
      </c>
      <c r="C12" s="775">
        <v>2</v>
      </c>
      <c r="D12" s="705">
        <f t="shared" si="3"/>
        <v>26</v>
      </c>
      <c r="E12" s="986">
        <v>44536</v>
      </c>
      <c r="F12" s="987">
        <f t="shared" si="0"/>
        <v>26</v>
      </c>
      <c r="G12" s="687" t="s">
        <v>442</v>
      </c>
      <c r="H12" s="988">
        <v>39</v>
      </c>
      <c r="I12" s="826">
        <f t="shared" si="8"/>
        <v>4511</v>
      </c>
      <c r="J12" s="823">
        <f t="shared" si="4"/>
        <v>1014</v>
      </c>
      <c r="M12" s="205">
        <v>13</v>
      </c>
      <c r="N12" s="775">
        <v>4</v>
      </c>
      <c r="O12" s="70">
        <f t="shared" si="5"/>
        <v>52</v>
      </c>
      <c r="P12" s="343">
        <v>44558</v>
      </c>
      <c r="Q12" s="825">
        <f t="shared" si="6"/>
        <v>52</v>
      </c>
      <c r="R12" s="278" t="s">
        <v>632</v>
      </c>
      <c r="S12" s="300">
        <v>41</v>
      </c>
      <c r="T12" s="826">
        <f t="shared" si="9"/>
        <v>7683</v>
      </c>
      <c r="U12" s="823">
        <f t="shared" si="7"/>
        <v>2132</v>
      </c>
    </row>
    <row r="13" spans="1:21" ht="15.75" x14ac:dyDescent="0.25">
      <c r="A13" s="19"/>
      <c r="B13" s="205">
        <v>13</v>
      </c>
      <c r="C13" s="776">
        <v>30</v>
      </c>
      <c r="D13" s="705">
        <f t="shared" si="3"/>
        <v>390</v>
      </c>
      <c r="E13" s="986">
        <v>44536</v>
      </c>
      <c r="F13" s="987">
        <f t="shared" si="0"/>
        <v>390</v>
      </c>
      <c r="G13" s="687" t="s">
        <v>444</v>
      </c>
      <c r="H13" s="988">
        <v>39</v>
      </c>
      <c r="I13" s="826">
        <f t="shared" si="8"/>
        <v>4121</v>
      </c>
      <c r="J13" s="823">
        <f t="shared" si="4"/>
        <v>15210</v>
      </c>
      <c r="L13" s="19"/>
      <c r="M13" s="205">
        <v>13</v>
      </c>
      <c r="N13" s="776">
        <v>40</v>
      </c>
      <c r="O13" s="70">
        <f t="shared" si="5"/>
        <v>520</v>
      </c>
      <c r="P13" s="343">
        <v>44558</v>
      </c>
      <c r="Q13" s="825">
        <f t="shared" si="6"/>
        <v>520</v>
      </c>
      <c r="R13" s="278" t="s">
        <v>635</v>
      </c>
      <c r="S13" s="300">
        <v>41</v>
      </c>
      <c r="T13" s="826">
        <f t="shared" si="9"/>
        <v>7163</v>
      </c>
      <c r="U13" s="823">
        <f t="shared" si="7"/>
        <v>21320</v>
      </c>
    </row>
    <row r="14" spans="1:21" ht="15.75" x14ac:dyDescent="0.25">
      <c r="B14" s="205">
        <v>13</v>
      </c>
      <c r="C14" s="775">
        <v>2</v>
      </c>
      <c r="D14" s="705">
        <f t="shared" si="3"/>
        <v>26</v>
      </c>
      <c r="E14" s="986">
        <v>44538</v>
      </c>
      <c r="F14" s="989">
        <f t="shared" si="0"/>
        <v>26</v>
      </c>
      <c r="G14" s="687" t="s">
        <v>470</v>
      </c>
      <c r="H14" s="988">
        <v>39</v>
      </c>
      <c r="I14" s="826">
        <f t="shared" si="8"/>
        <v>4095</v>
      </c>
      <c r="J14" s="779">
        <f t="shared" si="4"/>
        <v>1014</v>
      </c>
      <c r="M14" s="205">
        <v>13</v>
      </c>
      <c r="N14" s="775">
        <v>1</v>
      </c>
      <c r="O14" s="70">
        <f t="shared" si="5"/>
        <v>13</v>
      </c>
      <c r="P14" s="343">
        <v>44560</v>
      </c>
      <c r="Q14" s="777">
        <f t="shared" si="6"/>
        <v>13</v>
      </c>
      <c r="R14" s="278" t="s">
        <v>651</v>
      </c>
      <c r="S14" s="300">
        <v>41</v>
      </c>
      <c r="T14" s="826">
        <f t="shared" si="9"/>
        <v>7150</v>
      </c>
      <c r="U14" s="779">
        <f t="shared" si="7"/>
        <v>533</v>
      </c>
    </row>
    <row r="15" spans="1:21" ht="15.75" x14ac:dyDescent="0.25">
      <c r="B15" s="205">
        <v>13</v>
      </c>
      <c r="C15" s="775">
        <v>48</v>
      </c>
      <c r="D15" s="705">
        <f t="shared" si="3"/>
        <v>624</v>
      </c>
      <c r="E15" s="986">
        <v>44538</v>
      </c>
      <c r="F15" s="989">
        <f t="shared" si="0"/>
        <v>624</v>
      </c>
      <c r="G15" s="706" t="s">
        <v>471</v>
      </c>
      <c r="H15" s="990">
        <v>39</v>
      </c>
      <c r="I15" s="827">
        <f t="shared" si="8"/>
        <v>3471</v>
      </c>
      <c r="J15" s="779">
        <f t="shared" si="4"/>
        <v>24336</v>
      </c>
      <c r="M15" s="205">
        <v>13</v>
      </c>
      <c r="N15" s="775">
        <v>50</v>
      </c>
      <c r="O15" s="70">
        <f t="shared" si="5"/>
        <v>650</v>
      </c>
      <c r="P15" s="343">
        <v>44560</v>
      </c>
      <c r="Q15" s="777">
        <f t="shared" si="6"/>
        <v>650</v>
      </c>
      <c r="R15" s="71" t="s">
        <v>659</v>
      </c>
      <c r="S15" s="660">
        <v>41</v>
      </c>
      <c r="T15" s="827">
        <f t="shared" si="9"/>
        <v>6500</v>
      </c>
      <c r="U15" s="779">
        <f t="shared" si="7"/>
        <v>26650</v>
      </c>
    </row>
    <row r="16" spans="1:21" ht="15.75" x14ac:dyDescent="0.25">
      <c r="B16" s="205">
        <v>13</v>
      </c>
      <c r="C16" s="775">
        <v>50</v>
      </c>
      <c r="D16" s="705">
        <f t="shared" si="3"/>
        <v>650</v>
      </c>
      <c r="E16" s="986">
        <v>44539</v>
      </c>
      <c r="F16" s="989">
        <f>D16</f>
        <v>650</v>
      </c>
      <c r="G16" s="706" t="s">
        <v>489</v>
      </c>
      <c r="H16" s="990">
        <v>39</v>
      </c>
      <c r="I16" s="827">
        <f t="shared" si="8"/>
        <v>2821</v>
      </c>
      <c r="J16" s="779">
        <f t="shared" si="4"/>
        <v>25350</v>
      </c>
      <c r="M16" s="205">
        <v>13</v>
      </c>
      <c r="N16" s="775">
        <v>50</v>
      </c>
      <c r="O16" s="70">
        <f t="shared" si="5"/>
        <v>650</v>
      </c>
      <c r="P16" s="343">
        <v>44560</v>
      </c>
      <c r="Q16" s="777">
        <f>O16</f>
        <v>650</v>
      </c>
      <c r="R16" s="71" t="s">
        <v>645</v>
      </c>
      <c r="S16" s="660">
        <v>41</v>
      </c>
      <c r="T16" s="827">
        <f t="shared" si="9"/>
        <v>5850</v>
      </c>
      <c r="U16" s="779">
        <f t="shared" si="7"/>
        <v>26650</v>
      </c>
    </row>
    <row r="17" spans="1:21" ht="15.75" x14ac:dyDescent="0.25">
      <c r="B17" s="205">
        <v>13</v>
      </c>
      <c r="C17" s="775">
        <v>86</v>
      </c>
      <c r="D17" s="705">
        <f t="shared" si="3"/>
        <v>1118</v>
      </c>
      <c r="E17" s="986">
        <v>44540</v>
      </c>
      <c r="F17" s="989">
        <f>D17</f>
        <v>1118</v>
      </c>
      <c r="G17" s="706" t="s">
        <v>460</v>
      </c>
      <c r="H17" s="990">
        <v>39</v>
      </c>
      <c r="I17" s="827">
        <f t="shared" si="8"/>
        <v>1703</v>
      </c>
      <c r="J17" s="779">
        <f t="shared" si="4"/>
        <v>43602</v>
      </c>
      <c r="M17" s="205">
        <v>13</v>
      </c>
      <c r="N17" s="775">
        <v>150</v>
      </c>
      <c r="O17" s="70">
        <f t="shared" si="5"/>
        <v>1950</v>
      </c>
      <c r="P17" s="343">
        <v>44561</v>
      </c>
      <c r="Q17" s="777">
        <f>O17</f>
        <v>1950</v>
      </c>
      <c r="R17" s="71" t="s">
        <v>668</v>
      </c>
      <c r="S17" s="660">
        <v>41</v>
      </c>
      <c r="T17" s="827">
        <f t="shared" si="9"/>
        <v>3900</v>
      </c>
      <c r="U17" s="779">
        <f t="shared" si="7"/>
        <v>79950</v>
      </c>
    </row>
    <row r="18" spans="1:21" ht="15.75" x14ac:dyDescent="0.25">
      <c r="B18" s="205">
        <v>13</v>
      </c>
      <c r="C18" s="775">
        <v>1</v>
      </c>
      <c r="D18" s="705">
        <f t="shared" si="3"/>
        <v>13</v>
      </c>
      <c r="E18" s="986">
        <v>44541</v>
      </c>
      <c r="F18" s="989">
        <f t="shared" ref="F18:F39" si="10">D18</f>
        <v>13</v>
      </c>
      <c r="G18" s="706" t="s">
        <v>503</v>
      </c>
      <c r="H18" s="988">
        <v>40</v>
      </c>
      <c r="I18" s="827">
        <f t="shared" si="8"/>
        <v>1690</v>
      </c>
      <c r="J18" s="779">
        <f t="shared" si="4"/>
        <v>520</v>
      </c>
      <c r="M18" s="205">
        <v>13</v>
      </c>
      <c r="N18" s="775"/>
      <c r="O18" s="70">
        <f t="shared" si="5"/>
        <v>0</v>
      </c>
      <c r="P18" s="343"/>
      <c r="Q18" s="777">
        <f t="shared" ref="Q18:Q39" si="11">O18</f>
        <v>0</v>
      </c>
      <c r="R18" s="71"/>
      <c r="S18" s="660"/>
      <c r="T18" s="827">
        <f t="shared" si="9"/>
        <v>3900</v>
      </c>
      <c r="U18" s="779">
        <f t="shared" si="7"/>
        <v>0</v>
      </c>
    </row>
    <row r="19" spans="1:21" ht="15.75" x14ac:dyDescent="0.25">
      <c r="B19" s="205">
        <v>13</v>
      </c>
      <c r="C19" s="775">
        <v>78</v>
      </c>
      <c r="D19" s="705">
        <f t="shared" si="3"/>
        <v>1014</v>
      </c>
      <c r="E19" s="986">
        <v>44545</v>
      </c>
      <c r="F19" s="989">
        <f t="shared" si="10"/>
        <v>1014</v>
      </c>
      <c r="G19" s="687" t="s">
        <v>529</v>
      </c>
      <c r="H19" s="988">
        <v>39</v>
      </c>
      <c r="I19" s="826">
        <f t="shared" si="8"/>
        <v>676</v>
      </c>
      <c r="J19" s="779">
        <f t="shared" si="4"/>
        <v>39546</v>
      </c>
      <c r="M19" s="205">
        <v>13</v>
      </c>
      <c r="N19" s="775"/>
      <c r="O19" s="70">
        <f t="shared" si="5"/>
        <v>0</v>
      </c>
      <c r="P19" s="343"/>
      <c r="Q19" s="777">
        <f t="shared" si="11"/>
        <v>0</v>
      </c>
      <c r="R19" s="278"/>
      <c r="S19" s="300"/>
      <c r="T19" s="826">
        <f t="shared" si="9"/>
        <v>3900</v>
      </c>
      <c r="U19" s="779">
        <f t="shared" si="7"/>
        <v>0</v>
      </c>
    </row>
    <row r="20" spans="1:21" ht="15.75" x14ac:dyDescent="0.25">
      <c r="B20" s="205">
        <v>13</v>
      </c>
      <c r="C20" s="775">
        <v>40</v>
      </c>
      <c r="D20" s="705">
        <f t="shared" si="3"/>
        <v>520</v>
      </c>
      <c r="E20" s="986">
        <v>44548</v>
      </c>
      <c r="F20" s="989">
        <f t="shared" si="10"/>
        <v>520</v>
      </c>
      <c r="G20" s="687" t="s">
        <v>543</v>
      </c>
      <c r="H20" s="988">
        <v>39</v>
      </c>
      <c r="I20" s="826">
        <f t="shared" si="8"/>
        <v>156</v>
      </c>
      <c r="J20" s="779">
        <f t="shared" si="4"/>
        <v>20280</v>
      </c>
      <c r="M20" s="205">
        <v>13</v>
      </c>
      <c r="N20" s="775"/>
      <c r="O20" s="70">
        <f t="shared" si="5"/>
        <v>0</v>
      </c>
      <c r="P20" s="343"/>
      <c r="Q20" s="777">
        <f t="shared" si="11"/>
        <v>0</v>
      </c>
      <c r="R20" s="278"/>
      <c r="S20" s="300"/>
      <c r="T20" s="826">
        <f t="shared" si="9"/>
        <v>3900</v>
      </c>
      <c r="U20" s="779">
        <f t="shared" si="7"/>
        <v>0</v>
      </c>
    </row>
    <row r="21" spans="1:21" ht="15.75" x14ac:dyDescent="0.25">
      <c r="B21" s="205">
        <v>13</v>
      </c>
      <c r="C21" s="775">
        <v>3</v>
      </c>
      <c r="D21" s="705">
        <f t="shared" si="3"/>
        <v>39</v>
      </c>
      <c r="E21" s="986">
        <v>44550</v>
      </c>
      <c r="F21" s="989">
        <f t="shared" si="10"/>
        <v>39</v>
      </c>
      <c r="G21" s="687" t="s">
        <v>558</v>
      </c>
      <c r="H21" s="988">
        <v>39</v>
      </c>
      <c r="I21" s="826">
        <f t="shared" si="8"/>
        <v>117</v>
      </c>
      <c r="J21" s="779">
        <f t="shared" si="4"/>
        <v>1521</v>
      </c>
      <c r="M21" s="205">
        <v>13</v>
      </c>
      <c r="N21" s="775"/>
      <c r="O21" s="70">
        <f t="shared" si="5"/>
        <v>0</v>
      </c>
      <c r="P21" s="343"/>
      <c r="Q21" s="777">
        <f t="shared" si="11"/>
        <v>0</v>
      </c>
      <c r="R21" s="278"/>
      <c r="S21" s="300"/>
      <c r="T21" s="826">
        <f t="shared" si="9"/>
        <v>3900</v>
      </c>
      <c r="U21" s="779">
        <f t="shared" si="7"/>
        <v>0</v>
      </c>
    </row>
    <row r="22" spans="1:21" ht="15.75" x14ac:dyDescent="0.25">
      <c r="B22" s="205">
        <v>13</v>
      </c>
      <c r="C22" s="775">
        <v>3</v>
      </c>
      <c r="D22" s="705">
        <f t="shared" si="3"/>
        <v>39</v>
      </c>
      <c r="E22" s="986">
        <v>44551</v>
      </c>
      <c r="F22" s="989">
        <f t="shared" si="10"/>
        <v>39</v>
      </c>
      <c r="G22" s="687" t="s">
        <v>560</v>
      </c>
      <c r="H22" s="988">
        <v>39</v>
      </c>
      <c r="I22" s="826">
        <f t="shared" si="8"/>
        <v>78</v>
      </c>
      <c r="J22" s="779">
        <f t="shared" si="4"/>
        <v>1521</v>
      </c>
      <c r="M22" s="205">
        <v>13</v>
      </c>
      <c r="N22" s="775"/>
      <c r="O22" s="70">
        <f t="shared" si="5"/>
        <v>0</v>
      </c>
      <c r="P22" s="343"/>
      <c r="Q22" s="777">
        <f t="shared" si="11"/>
        <v>0</v>
      </c>
      <c r="R22" s="278"/>
      <c r="S22" s="300"/>
      <c r="T22" s="826">
        <f t="shared" si="9"/>
        <v>3900</v>
      </c>
      <c r="U22" s="779">
        <f t="shared" si="7"/>
        <v>0</v>
      </c>
    </row>
    <row r="23" spans="1:21" ht="15.75" x14ac:dyDescent="0.25">
      <c r="B23" s="205">
        <v>13</v>
      </c>
      <c r="C23" s="775"/>
      <c r="D23" s="705">
        <f t="shared" si="3"/>
        <v>0</v>
      </c>
      <c r="E23" s="986"/>
      <c r="F23" s="989">
        <f t="shared" si="10"/>
        <v>0</v>
      </c>
      <c r="G23" s="687"/>
      <c r="H23" s="988"/>
      <c r="I23" s="826">
        <f t="shared" si="8"/>
        <v>78</v>
      </c>
      <c r="J23" s="779">
        <f t="shared" si="4"/>
        <v>0</v>
      </c>
      <c r="M23" s="205">
        <v>13</v>
      </c>
      <c r="N23" s="775"/>
      <c r="O23" s="70">
        <f t="shared" si="5"/>
        <v>0</v>
      </c>
      <c r="P23" s="343"/>
      <c r="Q23" s="777">
        <f t="shared" si="11"/>
        <v>0</v>
      </c>
      <c r="R23" s="278"/>
      <c r="S23" s="300"/>
      <c r="T23" s="826">
        <f t="shared" si="9"/>
        <v>3900</v>
      </c>
      <c r="U23" s="779">
        <f t="shared" si="7"/>
        <v>0</v>
      </c>
    </row>
    <row r="24" spans="1:21" ht="15.75" x14ac:dyDescent="0.25">
      <c r="B24" s="205">
        <v>13</v>
      </c>
      <c r="C24" s="775"/>
      <c r="D24" s="705">
        <f t="shared" si="3"/>
        <v>0</v>
      </c>
      <c r="E24" s="986"/>
      <c r="F24" s="989">
        <f t="shared" si="10"/>
        <v>0</v>
      </c>
      <c r="G24" s="1087"/>
      <c r="H24" s="1099"/>
      <c r="I24" s="1100">
        <f t="shared" si="8"/>
        <v>78</v>
      </c>
      <c r="J24" s="1101">
        <f t="shared" si="4"/>
        <v>0</v>
      </c>
      <c r="M24" s="205">
        <v>13</v>
      </c>
      <c r="N24" s="775"/>
      <c r="O24" s="70">
        <f t="shared" si="5"/>
        <v>0</v>
      </c>
      <c r="P24" s="343"/>
      <c r="Q24" s="777">
        <f t="shared" si="11"/>
        <v>0</v>
      </c>
      <c r="R24" s="278"/>
      <c r="S24" s="300"/>
      <c r="T24" s="826">
        <f t="shared" si="9"/>
        <v>3900</v>
      </c>
      <c r="U24" s="779">
        <f t="shared" si="7"/>
        <v>0</v>
      </c>
    </row>
    <row r="25" spans="1:21" ht="15.75" x14ac:dyDescent="0.25">
      <c r="B25" s="205">
        <v>13</v>
      </c>
      <c r="C25" s="775">
        <v>6</v>
      </c>
      <c r="D25" s="705">
        <f t="shared" si="3"/>
        <v>78</v>
      </c>
      <c r="E25" s="986"/>
      <c r="F25" s="989">
        <f t="shared" si="10"/>
        <v>78</v>
      </c>
      <c r="G25" s="1087"/>
      <c r="H25" s="1099"/>
      <c r="I25" s="1100">
        <f t="shared" si="8"/>
        <v>0</v>
      </c>
      <c r="J25" s="1101">
        <f t="shared" si="4"/>
        <v>0</v>
      </c>
      <c r="M25" s="205">
        <v>13</v>
      </c>
      <c r="N25" s="775"/>
      <c r="O25" s="70">
        <f t="shared" si="5"/>
        <v>0</v>
      </c>
      <c r="P25" s="343"/>
      <c r="Q25" s="777">
        <f t="shared" si="11"/>
        <v>0</v>
      </c>
      <c r="R25" s="278"/>
      <c r="S25" s="300"/>
      <c r="T25" s="826">
        <f t="shared" si="9"/>
        <v>3900</v>
      </c>
      <c r="U25" s="779">
        <f t="shared" si="7"/>
        <v>0</v>
      </c>
    </row>
    <row r="26" spans="1:21" ht="15.75" x14ac:dyDescent="0.25">
      <c r="B26" s="205">
        <v>13</v>
      </c>
      <c r="C26" s="775"/>
      <c r="D26" s="705">
        <f t="shared" si="3"/>
        <v>0</v>
      </c>
      <c r="E26" s="986"/>
      <c r="F26" s="989">
        <f t="shared" si="10"/>
        <v>0</v>
      </c>
      <c r="G26" s="1087"/>
      <c r="H26" s="1099"/>
      <c r="I26" s="1100">
        <f t="shared" si="8"/>
        <v>0</v>
      </c>
      <c r="J26" s="1101">
        <f t="shared" si="4"/>
        <v>0</v>
      </c>
      <c r="M26" s="205">
        <v>13</v>
      </c>
      <c r="N26" s="775"/>
      <c r="O26" s="70">
        <f t="shared" si="5"/>
        <v>0</v>
      </c>
      <c r="P26" s="343"/>
      <c r="Q26" s="777">
        <f t="shared" si="11"/>
        <v>0</v>
      </c>
      <c r="R26" s="71"/>
      <c r="S26" s="660"/>
      <c r="T26" s="827">
        <f t="shared" si="9"/>
        <v>3900</v>
      </c>
      <c r="U26" s="779">
        <f t="shared" si="7"/>
        <v>0</v>
      </c>
    </row>
    <row r="27" spans="1:21" ht="15.75" x14ac:dyDescent="0.25">
      <c r="B27" s="205">
        <v>13</v>
      </c>
      <c r="C27" s="775"/>
      <c r="D27" s="705">
        <f t="shared" si="3"/>
        <v>0</v>
      </c>
      <c r="E27" s="986"/>
      <c r="F27" s="989">
        <f t="shared" si="10"/>
        <v>0</v>
      </c>
      <c r="G27" s="1087"/>
      <c r="H27" s="1099"/>
      <c r="I27" s="1100">
        <f t="shared" si="8"/>
        <v>0</v>
      </c>
      <c r="J27" s="1101">
        <f t="shared" si="4"/>
        <v>0</v>
      </c>
      <c r="M27" s="205">
        <v>13</v>
      </c>
      <c r="N27" s="775"/>
      <c r="O27" s="70">
        <f t="shared" si="5"/>
        <v>0</v>
      </c>
      <c r="P27" s="343"/>
      <c r="Q27" s="777">
        <f t="shared" si="11"/>
        <v>0</v>
      </c>
      <c r="R27" s="71"/>
      <c r="S27" s="660"/>
      <c r="T27" s="827">
        <f t="shared" si="9"/>
        <v>3900</v>
      </c>
      <c r="U27" s="779">
        <f t="shared" si="7"/>
        <v>0</v>
      </c>
    </row>
    <row r="28" spans="1:21" ht="15.75" x14ac:dyDescent="0.25">
      <c r="B28" s="205">
        <v>13</v>
      </c>
      <c r="C28" s="775"/>
      <c r="D28" s="705">
        <f t="shared" si="3"/>
        <v>0</v>
      </c>
      <c r="E28" s="986"/>
      <c r="F28" s="989">
        <f t="shared" si="10"/>
        <v>0</v>
      </c>
      <c r="G28" s="706"/>
      <c r="H28" s="990"/>
      <c r="I28" s="827">
        <f t="shared" si="8"/>
        <v>0</v>
      </c>
      <c r="J28" s="779">
        <f t="shared" si="4"/>
        <v>0</v>
      </c>
      <c r="M28" s="205">
        <v>13</v>
      </c>
      <c r="N28" s="775"/>
      <c r="O28" s="70">
        <f t="shared" si="5"/>
        <v>0</v>
      </c>
      <c r="P28" s="343"/>
      <c r="Q28" s="777">
        <f t="shared" si="11"/>
        <v>0</v>
      </c>
      <c r="R28" s="71"/>
      <c r="S28" s="660"/>
      <c r="T28" s="827">
        <f t="shared" si="9"/>
        <v>3900</v>
      </c>
      <c r="U28" s="779">
        <f t="shared" si="7"/>
        <v>0</v>
      </c>
    </row>
    <row r="29" spans="1:21" ht="15.75" x14ac:dyDescent="0.25">
      <c r="A29" s="47"/>
      <c r="B29" s="205">
        <v>13</v>
      </c>
      <c r="C29" s="775"/>
      <c r="D29" s="705">
        <f t="shared" si="3"/>
        <v>0</v>
      </c>
      <c r="E29" s="986"/>
      <c r="F29" s="989">
        <f t="shared" si="10"/>
        <v>0</v>
      </c>
      <c r="G29" s="706"/>
      <c r="H29" s="990"/>
      <c r="I29" s="827">
        <f t="shared" si="8"/>
        <v>0</v>
      </c>
      <c r="J29" s="779">
        <f t="shared" si="4"/>
        <v>0</v>
      </c>
      <c r="L29" s="47"/>
      <c r="M29" s="205">
        <v>13</v>
      </c>
      <c r="N29" s="775"/>
      <c r="O29" s="70">
        <f t="shared" si="5"/>
        <v>0</v>
      </c>
      <c r="P29" s="343"/>
      <c r="Q29" s="777">
        <f t="shared" si="11"/>
        <v>0</v>
      </c>
      <c r="R29" s="71"/>
      <c r="S29" s="660"/>
      <c r="T29" s="827">
        <f t="shared" si="9"/>
        <v>3900</v>
      </c>
      <c r="U29" s="779">
        <f t="shared" si="7"/>
        <v>0</v>
      </c>
    </row>
    <row r="30" spans="1:21" ht="15.75" x14ac:dyDescent="0.25">
      <c r="A30" s="47"/>
      <c r="B30" s="205">
        <v>13</v>
      </c>
      <c r="C30" s="775"/>
      <c r="D30" s="705">
        <f t="shared" si="3"/>
        <v>0</v>
      </c>
      <c r="E30" s="986"/>
      <c r="F30" s="989">
        <f t="shared" si="10"/>
        <v>0</v>
      </c>
      <c r="G30" s="706"/>
      <c r="H30" s="990"/>
      <c r="I30" s="827">
        <f t="shared" si="8"/>
        <v>0</v>
      </c>
      <c r="J30" s="779">
        <f t="shared" si="4"/>
        <v>0</v>
      </c>
      <c r="L30" s="47"/>
      <c r="M30" s="205">
        <v>13</v>
      </c>
      <c r="N30" s="775"/>
      <c r="O30" s="70">
        <f t="shared" si="5"/>
        <v>0</v>
      </c>
      <c r="P30" s="343"/>
      <c r="Q30" s="777">
        <f t="shared" si="11"/>
        <v>0</v>
      </c>
      <c r="R30" s="71"/>
      <c r="S30" s="660"/>
      <c r="T30" s="827">
        <f t="shared" si="9"/>
        <v>3900</v>
      </c>
      <c r="U30" s="779">
        <f t="shared" si="7"/>
        <v>0</v>
      </c>
    </row>
    <row r="31" spans="1:21" ht="15.75" x14ac:dyDescent="0.25">
      <c r="A31" s="47"/>
      <c r="B31" s="205">
        <v>13</v>
      </c>
      <c r="C31" s="775"/>
      <c r="D31" s="70">
        <f t="shared" si="3"/>
        <v>0</v>
      </c>
      <c r="E31" s="343"/>
      <c r="F31" s="777">
        <f t="shared" si="10"/>
        <v>0</v>
      </c>
      <c r="G31" s="71"/>
      <c r="H31" s="660"/>
      <c r="I31" s="827">
        <f t="shared" si="8"/>
        <v>0</v>
      </c>
      <c r="J31" s="779">
        <f t="shared" si="4"/>
        <v>0</v>
      </c>
      <c r="L31" s="47"/>
      <c r="M31" s="205">
        <v>13</v>
      </c>
      <c r="N31" s="775"/>
      <c r="O31" s="70">
        <f t="shared" si="5"/>
        <v>0</v>
      </c>
      <c r="P31" s="343"/>
      <c r="Q31" s="777">
        <f t="shared" si="11"/>
        <v>0</v>
      </c>
      <c r="R31" s="71"/>
      <c r="S31" s="660"/>
      <c r="T31" s="827">
        <f t="shared" si="9"/>
        <v>3900</v>
      </c>
      <c r="U31" s="779">
        <f t="shared" si="7"/>
        <v>0</v>
      </c>
    </row>
    <row r="32" spans="1:21" ht="15.75" x14ac:dyDescent="0.25">
      <c r="A32" s="47"/>
      <c r="B32" s="205">
        <v>13</v>
      </c>
      <c r="C32" s="775"/>
      <c r="D32" s="70">
        <f t="shared" si="3"/>
        <v>0</v>
      </c>
      <c r="E32" s="343"/>
      <c r="F32" s="777">
        <f t="shared" si="10"/>
        <v>0</v>
      </c>
      <c r="G32" s="71"/>
      <c r="H32" s="660"/>
      <c r="I32" s="827">
        <f t="shared" si="8"/>
        <v>0</v>
      </c>
      <c r="J32" s="779">
        <f t="shared" si="4"/>
        <v>0</v>
      </c>
      <c r="L32" s="47"/>
      <c r="M32" s="205">
        <v>13</v>
      </c>
      <c r="N32" s="775"/>
      <c r="O32" s="70">
        <f t="shared" si="5"/>
        <v>0</v>
      </c>
      <c r="P32" s="343"/>
      <c r="Q32" s="777">
        <f t="shared" si="11"/>
        <v>0</v>
      </c>
      <c r="R32" s="71"/>
      <c r="S32" s="660"/>
      <c r="T32" s="827">
        <f t="shared" si="9"/>
        <v>3900</v>
      </c>
      <c r="U32" s="779">
        <f t="shared" si="7"/>
        <v>0</v>
      </c>
    </row>
    <row r="33" spans="1:21" ht="15.75" x14ac:dyDescent="0.25">
      <c r="A33" s="47"/>
      <c r="B33" s="205">
        <v>13</v>
      </c>
      <c r="C33" s="775"/>
      <c r="D33" s="70">
        <f t="shared" si="3"/>
        <v>0</v>
      </c>
      <c r="E33" s="343"/>
      <c r="F33" s="777">
        <f t="shared" si="10"/>
        <v>0</v>
      </c>
      <c r="G33" s="71"/>
      <c r="H33" s="660"/>
      <c r="I33" s="827">
        <f t="shared" si="8"/>
        <v>0</v>
      </c>
      <c r="J33" s="779">
        <f t="shared" si="4"/>
        <v>0</v>
      </c>
      <c r="L33" s="47"/>
      <c r="M33" s="205">
        <v>13</v>
      </c>
      <c r="N33" s="775"/>
      <c r="O33" s="70">
        <f t="shared" si="5"/>
        <v>0</v>
      </c>
      <c r="P33" s="343"/>
      <c r="Q33" s="777">
        <f t="shared" si="11"/>
        <v>0</v>
      </c>
      <c r="R33" s="71"/>
      <c r="S33" s="660"/>
      <c r="T33" s="827">
        <f t="shared" si="9"/>
        <v>3900</v>
      </c>
      <c r="U33" s="779">
        <f t="shared" si="7"/>
        <v>0</v>
      </c>
    </row>
    <row r="34" spans="1:21" ht="15.75" x14ac:dyDescent="0.25">
      <c r="A34" s="47"/>
      <c r="B34" s="205">
        <v>13</v>
      </c>
      <c r="C34" s="775"/>
      <c r="D34" s="70">
        <f t="shared" si="3"/>
        <v>0</v>
      </c>
      <c r="E34" s="343"/>
      <c r="F34" s="777">
        <f t="shared" si="10"/>
        <v>0</v>
      </c>
      <c r="G34" s="71"/>
      <c r="H34" s="660"/>
      <c r="I34" s="827">
        <f t="shared" si="8"/>
        <v>0</v>
      </c>
      <c r="J34" s="779">
        <f t="shared" si="4"/>
        <v>0</v>
      </c>
      <c r="L34" s="47"/>
      <c r="M34" s="205">
        <v>13</v>
      </c>
      <c r="N34" s="775"/>
      <c r="O34" s="70">
        <f t="shared" si="5"/>
        <v>0</v>
      </c>
      <c r="P34" s="343"/>
      <c r="Q34" s="777">
        <f t="shared" si="11"/>
        <v>0</v>
      </c>
      <c r="R34" s="71"/>
      <c r="S34" s="660"/>
      <c r="T34" s="827">
        <f t="shared" si="9"/>
        <v>3900</v>
      </c>
      <c r="U34" s="779">
        <f t="shared" si="7"/>
        <v>0</v>
      </c>
    </row>
    <row r="35" spans="1:21" ht="15.75" x14ac:dyDescent="0.25">
      <c r="A35" s="47"/>
      <c r="B35" s="205">
        <v>13</v>
      </c>
      <c r="C35" s="775"/>
      <c r="D35" s="70">
        <f t="shared" si="3"/>
        <v>0</v>
      </c>
      <c r="E35" s="343"/>
      <c r="F35" s="777">
        <f t="shared" si="10"/>
        <v>0</v>
      </c>
      <c r="G35" s="71"/>
      <c r="H35" s="660"/>
      <c r="I35" s="778">
        <f t="shared" si="8"/>
        <v>0</v>
      </c>
      <c r="J35" s="779">
        <f t="shared" si="4"/>
        <v>0</v>
      </c>
      <c r="L35" s="47"/>
      <c r="M35" s="205">
        <v>13</v>
      </c>
      <c r="N35" s="775"/>
      <c r="O35" s="70">
        <f t="shared" si="5"/>
        <v>0</v>
      </c>
      <c r="P35" s="343"/>
      <c r="Q35" s="777">
        <f t="shared" si="11"/>
        <v>0</v>
      </c>
      <c r="R35" s="71"/>
      <c r="S35" s="660"/>
      <c r="T35" s="778">
        <f t="shared" si="9"/>
        <v>3900</v>
      </c>
      <c r="U35" s="779">
        <f t="shared" si="7"/>
        <v>0</v>
      </c>
    </row>
    <row r="36" spans="1:21" ht="15.75" x14ac:dyDescent="0.25">
      <c r="A36" s="47"/>
      <c r="B36" s="205">
        <v>13</v>
      </c>
      <c r="C36" s="775"/>
      <c r="D36" s="70">
        <f t="shared" si="3"/>
        <v>0</v>
      </c>
      <c r="E36" s="343"/>
      <c r="F36" s="777">
        <f t="shared" si="10"/>
        <v>0</v>
      </c>
      <c r="G36" s="71"/>
      <c r="H36" s="660"/>
      <c r="I36" s="778">
        <f t="shared" si="8"/>
        <v>0</v>
      </c>
      <c r="J36" s="779">
        <f t="shared" si="4"/>
        <v>0</v>
      </c>
      <c r="L36" s="47"/>
      <c r="M36" s="205">
        <v>13</v>
      </c>
      <c r="N36" s="775"/>
      <c r="O36" s="70">
        <f t="shared" si="5"/>
        <v>0</v>
      </c>
      <c r="P36" s="343"/>
      <c r="Q36" s="777">
        <f t="shared" si="11"/>
        <v>0</v>
      </c>
      <c r="R36" s="71"/>
      <c r="S36" s="660"/>
      <c r="T36" s="778">
        <f t="shared" si="9"/>
        <v>3900</v>
      </c>
      <c r="U36" s="779">
        <f t="shared" si="7"/>
        <v>0</v>
      </c>
    </row>
    <row r="37" spans="1:21" ht="15.75" x14ac:dyDescent="0.25">
      <c r="A37" s="47"/>
      <c r="B37" s="205">
        <v>13</v>
      </c>
      <c r="C37" s="775"/>
      <c r="D37" s="70">
        <f t="shared" si="3"/>
        <v>0</v>
      </c>
      <c r="E37" s="343"/>
      <c r="F37" s="777">
        <f t="shared" si="10"/>
        <v>0</v>
      </c>
      <c r="G37" s="71"/>
      <c r="H37" s="660"/>
      <c r="I37" s="778">
        <f t="shared" si="8"/>
        <v>0</v>
      </c>
      <c r="J37" s="779">
        <f t="shared" si="4"/>
        <v>0</v>
      </c>
      <c r="L37" s="47"/>
      <c r="M37" s="205">
        <v>13</v>
      </c>
      <c r="N37" s="775"/>
      <c r="O37" s="70">
        <f t="shared" si="5"/>
        <v>0</v>
      </c>
      <c r="P37" s="343"/>
      <c r="Q37" s="777">
        <f t="shared" si="11"/>
        <v>0</v>
      </c>
      <c r="R37" s="71"/>
      <c r="S37" s="660"/>
      <c r="T37" s="778">
        <f t="shared" si="9"/>
        <v>3900</v>
      </c>
      <c r="U37" s="779">
        <f t="shared" si="7"/>
        <v>0</v>
      </c>
    </row>
    <row r="38" spans="1:21" ht="15.75" x14ac:dyDescent="0.25">
      <c r="A38" s="47"/>
      <c r="B38" s="205">
        <v>13</v>
      </c>
      <c r="C38" s="775"/>
      <c r="D38" s="70">
        <f t="shared" si="3"/>
        <v>0</v>
      </c>
      <c r="E38" s="343"/>
      <c r="F38" s="777">
        <f t="shared" si="10"/>
        <v>0</v>
      </c>
      <c r="G38" s="71"/>
      <c r="H38" s="660"/>
      <c r="I38" s="778">
        <f t="shared" si="8"/>
        <v>0</v>
      </c>
      <c r="J38" s="779">
        <f t="shared" si="4"/>
        <v>0</v>
      </c>
      <c r="L38" s="47"/>
      <c r="M38" s="205">
        <v>13</v>
      </c>
      <c r="N38" s="775"/>
      <c r="O38" s="70">
        <f t="shared" si="5"/>
        <v>0</v>
      </c>
      <c r="P38" s="343"/>
      <c r="Q38" s="777">
        <f t="shared" si="11"/>
        <v>0</v>
      </c>
      <c r="R38" s="71"/>
      <c r="S38" s="660"/>
      <c r="T38" s="778">
        <f t="shared" si="9"/>
        <v>3900</v>
      </c>
      <c r="U38" s="779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1"/>
      <c r="J39" s="772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1"/>
      <c r="U39" s="772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77" t="s">
        <v>21</v>
      </c>
      <c r="E42" s="1178"/>
      <c r="F42" s="147">
        <f>E4+E5-F40+E6</f>
        <v>0</v>
      </c>
      <c r="M42" s="5"/>
      <c r="O42" s="1177" t="s">
        <v>21</v>
      </c>
      <c r="P42" s="1178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4" t="s">
        <v>4</v>
      </c>
      <c r="P43" s="1045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5" t="s">
        <v>246</v>
      </c>
      <c r="B1" s="1195"/>
      <c r="C1" s="1195"/>
      <c r="D1" s="1195"/>
      <c r="E1" s="1195"/>
      <c r="F1" s="1195"/>
      <c r="G1" s="1195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203" t="s">
        <v>268</v>
      </c>
      <c r="B5" s="1120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203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4">
        <f>E5+E6-F8+E4</f>
        <v>0</v>
      </c>
      <c r="J8" s="787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4">
        <f>I8-F9</f>
        <v>0</v>
      </c>
      <c r="J9" s="787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4">
        <f t="shared" ref="I10:I27" si="3">I9-F10</f>
        <v>0</v>
      </c>
      <c r="J10" s="787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4">
        <f t="shared" si="3"/>
        <v>0</v>
      </c>
      <c r="J11" s="787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4">
        <f t="shared" si="3"/>
        <v>0</v>
      </c>
      <c r="J12" s="787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77" t="s">
        <v>21</v>
      </c>
      <c r="E31" s="1178"/>
      <c r="F31" s="147">
        <f>E4+E5-F29+E6</f>
        <v>0</v>
      </c>
    </row>
    <row r="32" spans="1:10" ht="15.75" thickBot="1" x14ac:dyDescent="0.3">
      <c r="A32" s="129"/>
      <c r="D32" s="1104" t="s">
        <v>4</v>
      </c>
      <c r="E32" s="1105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2022-01-25T19:20:12Z</dcterms:modified>
</cp:coreProperties>
</file>