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7  J U L I 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CANAL EN    COMBO    SIOUX    " sheetId="228" r:id="rId6"/>
    <sheet name="PUNTAS DE CAÑA DE LOMO  " sheetId="208" r:id="rId7"/>
    <sheet name="PIERNA  S H    DE CERDO   VAC  " sheetId="226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PULPA    NEGRA     " sheetId="194" state="hidden" r:id="rId15"/>
    <sheet name="FILETE    DE    CERDO  " sheetId="159" state="hidden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Gráfico2" sheetId="229" r:id="rId33"/>
    <sheet name="MENUDO EXCELL   I B P" sheetId="40" r:id="rId34"/>
    <sheet name="ESPALDILLA CARNERO Y CORDERO   " sheetId="54" r:id="rId35"/>
    <sheet name="CARNERO EN CANAL X  CAJA  " sheetId="193" state="hidden" r:id="rId36"/>
    <sheet name="ESPALDILLA     SH    " sheetId="187" state="hidden" r:id="rId37"/>
    <sheet name="QUESOS  GOUDA    " sheetId="14" state="hidden" r:id="rId38"/>
    <sheet name="PIERNA CORDERO   " sheetId="178" r:id="rId39"/>
    <sheet name="T   BONE  CARNERO      " sheetId="211" state="hidden" r:id="rId40"/>
    <sheet name="Gráfico3" sheetId="230" r:id="rId41"/>
    <sheet name="FILETE  TILAPIA   " sheetId="65" r:id="rId42"/>
    <sheet name="CHULETA ST     DE   L O M O    " sheetId="139" r:id="rId43"/>
    <sheet name="C A M A R O N E S      " sheetId="188" r:id="rId44"/>
    <sheet name="  PUNTAS   DE    CHULETA   " sheetId="205" state="hidden" r:id="rId45"/>
    <sheet name="PIERNA    SH   CONGELADA   " sheetId="190" r:id="rId46"/>
    <sheet name="     CAÑA   DE    LOMO      " sheetId="117" r:id="rId47"/>
    <sheet name="HUESO       TUETANO       " sheetId="217" r:id="rId48"/>
    <sheet name="  C O S T I L L A R     S F" sheetId="212" r:id="rId49"/>
    <sheet name="ARRACHERA      IN-SIDE    " sheetId="220" r:id="rId50"/>
    <sheet name="SESOS  CERDO MARQUETA   " sheetId="209" state="hidden" r:id="rId51"/>
    <sheet name="CABEZA DE   LOMO    " sheetId="161" state="hidden" r:id="rId52"/>
    <sheet name="P A V O S           " sheetId="156" state="hidden" r:id="rId53"/>
    <sheet name="     C A B E Z A               " sheetId="210" state="hidden" r:id="rId54"/>
    <sheet name="MANITAS DE CERDO " sheetId="177" r:id="rId55"/>
    <sheet name="TOCINO      NACIONAL        " sheetId="180" r:id="rId56"/>
    <sheet name="C O R B A T A        " sheetId="174" state="hidden" r:id="rId57"/>
    <sheet name="S U A D E R O  " sheetId="189" r:id="rId58"/>
    <sheet name="   CUERO   EN   COMBO   " sheetId="195" state="hidden" r:id="rId59"/>
    <sheet name="   G R A S A      " sheetId="204" state="hidden" r:id="rId60"/>
    <sheet name="PERNIL CON GRASA      " sheetId="223" state="hidden" r:id="rId61"/>
    <sheet name="Hoja8" sheetId="224" r:id="rId62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0" i="38" l="1"/>
  <c r="Q134" i="38" l="1"/>
  <c r="H134" i="38" l="1"/>
  <c r="F134" i="38"/>
  <c r="S125" i="38" l="1"/>
  <c r="T125" i="38"/>
  <c r="S126" i="38"/>
  <c r="T126" i="38" s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L10" i="197" l="1"/>
  <c r="O31" i="129" l="1"/>
  <c r="F33" i="128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52" i="130"/>
  <c r="J56" i="130"/>
  <c r="J60" i="130"/>
  <c r="J64" i="130"/>
  <c r="F47" i="130"/>
  <c r="J47" i="130" s="1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P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P10" i="197"/>
  <c r="DE32" i="1" l="1"/>
  <c r="DE30" i="1"/>
  <c r="DE31" i="1"/>
  <c r="P10" i="203"/>
  <c r="P9" i="203"/>
  <c r="P11" i="65" l="1"/>
  <c r="R11" i="65" s="1"/>
  <c r="P10" i="65"/>
  <c r="R10" i="65" s="1"/>
  <c r="S115" i="38" l="1"/>
  <c r="T115" i="38" s="1"/>
  <c r="Q114" i="38"/>
  <c r="H114" i="38"/>
  <c r="F114" i="38"/>
  <c r="I115" i="38"/>
  <c r="I116" i="38"/>
  <c r="Q116" i="38" l="1"/>
  <c r="S116" i="38" s="1"/>
  <c r="T116" i="38" s="1"/>
  <c r="S119" i="38" l="1"/>
  <c r="T119" i="38"/>
  <c r="S121" i="38"/>
  <c r="T121" i="38" s="1"/>
  <c r="S122" i="38"/>
  <c r="T122" i="38" s="1"/>
  <c r="S123" i="38"/>
  <c r="T123" i="38"/>
  <c r="Q29" i="38" l="1"/>
  <c r="Q120" i="38"/>
  <c r="S120" i="38" s="1"/>
  <c r="Q127" i="38"/>
  <c r="S127" i="38" s="1"/>
  <c r="T127" i="38" s="1"/>
  <c r="Q27" i="38"/>
  <c r="Q25" i="38"/>
  <c r="T120" i="38" l="1"/>
  <c r="Q28" i="38"/>
  <c r="I121" i="38"/>
  <c r="I122" i="38"/>
  <c r="F120" i="38"/>
  <c r="H120" i="38"/>
  <c r="S26" i="38" l="1"/>
  <c r="I119" i="38" l="1"/>
  <c r="Z30" i="189"/>
  <c r="Y30" i="189"/>
  <c r="AA31" i="189" s="1"/>
  <c r="AB29" i="189"/>
  <c r="AB28" i="189"/>
  <c r="AB27" i="189"/>
  <c r="AB26" i="189"/>
  <c r="AB25" i="189"/>
  <c r="AB24" i="189"/>
  <c r="AB23" i="189"/>
  <c r="AB22" i="189"/>
  <c r="AB21" i="189"/>
  <c r="AB20" i="189"/>
  <c r="AB19" i="189"/>
  <c r="AB18" i="189"/>
  <c r="AB17" i="189"/>
  <c r="AB16" i="189"/>
  <c r="AB15" i="189"/>
  <c r="AB14" i="189"/>
  <c r="AB13" i="189"/>
  <c r="AB12" i="189"/>
  <c r="AB11" i="189"/>
  <c r="AB10" i="189"/>
  <c r="AB9" i="189"/>
  <c r="AF8" i="189"/>
  <c r="AF9" i="189" s="1"/>
  <c r="AF10" i="189" s="1"/>
  <c r="AF11" i="189" s="1"/>
  <c r="AF12" i="189" s="1"/>
  <c r="AF13" i="189" s="1"/>
  <c r="AF14" i="189" s="1"/>
  <c r="AF15" i="189" s="1"/>
  <c r="AF16" i="189" s="1"/>
  <c r="AF17" i="189" s="1"/>
  <c r="AF18" i="189" s="1"/>
  <c r="AF19" i="189" s="1"/>
  <c r="AF20" i="189" s="1"/>
  <c r="AF21" i="189" s="1"/>
  <c r="AF22" i="189" s="1"/>
  <c r="AF23" i="189" s="1"/>
  <c r="AF24" i="189" s="1"/>
  <c r="AF25" i="189" s="1"/>
  <c r="AF26" i="189" s="1"/>
  <c r="AF27" i="189" s="1"/>
  <c r="AF28" i="189" s="1"/>
  <c r="AB8" i="189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L76" i="215"/>
  <c r="Q75" i="215"/>
  <c r="U70" i="215"/>
  <c r="U69" i="215"/>
  <c r="U68" i="215"/>
  <c r="Q68" i="215"/>
  <c r="O68" i="215"/>
  <c r="U67" i="215"/>
  <c r="Q67" i="215"/>
  <c r="O67" i="215"/>
  <c r="O66" i="215"/>
  <c r="Q66" i="215" s="1"/>
  <c r="U66" i="215" s="1"/>
  <c r="O65" i="215"/>
  <c r="Q65" i="215" s="1"/>
  <c r="U65" i="215" s="1"/>
  <c r="Q64" i="215"/>
  <c r="U64" i="215" s="1"/>
  <c r="O64" i="215"/>
  <c r="U63" i="215"/>
  <c r="Q63" i="215"/>
  <c r="O63" i="215"/>
  <c r="O62" i="215"/>
  <c r="Q62" i="215" s="1"/>
  <c r="U62" i="215" s="1"/>
  <c r="O61" i="215"/>
  <c r="Q61" i="215" s="1"/>
  <c r="U61" i="215" s="1"/>
  <c r="Q60" i="215"/>
  <c r="U60" i="215" s="1"/>
  <c r="O60" i="215"/>
  <c r="O59" i="215"/>
  <c r="Q59" i="215" s="1"/>
  <c r="U59" i="215" s="1"/>
  <c r="O58" i="215"/>
  <c r="Q58" i="215" s="1"/>
  <c r="U58" i="215" s="1"/>
  <c r="O57" i="215"/>
  <c r="Q57" i="215" s="1"/>
  <c r="U57" i="215" s="1"/>
  <c r="O56" i="215"/>
  <c r="Q56" i="215" s="1"/>
  <c r="U56" i="215" s="1"/>
  <c r="Q55" i="215"/>
  <c r="U55" i="215" s="1"/>
  <c r="O55" i="215"/>
  <c r="O54" i="215"/>
  <c r="Q54" i="215" s="1"/>
  <c r="U54" i="215" s="1"/>
  <c r="O53" i="215"/>
  <c r="Q53" i="215" s="1"/>
  <c r="U53" i="215" s="1"/>
  <c r="Q52" i="215"/>
  <c r="U52" i="215" s="1"/>
  <c r="O52" i="215"/>
  <c r="O51" i="215"/>
  <c r="Q51" i="215" s="1"/>
  <c r="U51" i="215" s="1"/>
  <c r="O50" i="215"/>
  <c r="Q50" i="215" s="1"/>
  <c r="U50" i="215" s="1"/>
  <c r="O49" i="215"/>
  <c r="Q49" i="215" s="1"/>
  <c r="U49" i="215" s="1"/>
  <c r="O48" i="215"/>
  <c r="Q48" i="215" s="1"/>
  <c r="U48" i="215" s="1"/>
  <c r="Q47" i="215"/>
  <c r="U47" i="215" s="1"/>
  <c r="O47" i="215"/>
  <c r="O46" i="215"/>
  <c r="Q46" i="215" s="1"/>
  <c r="U46" i="215" s="1"/>
  <c r="O45" i="215"/>
  <c r="Q45" i="215" s="1"/>
  <c r="U45" i="215" s="1"/>
  <c r="Q44" i="215"/>
  <c r="U44" i="215" s="1"/>
  <c r="O44" i="215"/>
  <c r="O43" i="215"/>
  <c r="Q43" i="215" s="1"/>
  <c r="U43" i="215" s="1"/>
  <c r="O42" i="215"/>
  <c r="Q42" i="215" s="1"/>
  <c r="U42" i="215" s="1"/>
  <c r="O41" i="215"/>
  <c r="Q41" i="215" s="1"/>
  <c r="U41" i="215" s="1"/>
  <c r="O40" i="215"/>
  <c r="Q40" i="215" s="1"/>
  <c r="U40" i="215" s="1"/>
  <c r="O39" i="215"/>
  <c r="Q39" i="215" s="1"/>
  <c r="U39" i="215" s="1"/>
  <c r="O38" i="215"/>
  <c r="Q38" i="215" s="1"/>
  <c r="U38" i="215" s="1"/>
  <c r="O37" i="215"/>
  <c r="Q37" i="215" s="1"/>
  <c r="U37" i="215" s="1"/>
  <c r="O36" i="215"/>
  <c r="Q36" i="215" s="1"/>
  <c r="U36" i="215" s="1"/>
  <c r="O35" i="215"/>
  <c r="Q35" i="215" s="1"/>
  <c r="U35" i="215" s="1"/>
  <c r="O34" i="215"/>
  <c r="Q34" i="215" s="1"/>
  <c r="U34" i="215" s="1"/>
  <c r="O33" i="215"/>
  <c r="Q33" i="215" s="1"/>
  <c r="U33" i="215" s="1"/>
  <c r="O32" i="215"/>
  <c r="Q32" i="215" s="1"/>
  <c r="U32" i="215" s="1"/>
  <c r="O31" i="215"/>
  <c r="Q31" i="215" s="1"/>
  <c r="U31" i="215" s="1"/>
  <c r="O30" i="215"/>
  <c r="Q30" i="215" s="1"/>
  <c r="U30" i="215" s="1"/>
  <c r="O29" i="215"/>
  <c r="Q29" i="215" s="1"/>
  <c r="U29" i="215" s="1"/>
  <c r="Q28" i="215"/>
  <c r="U28" i="215" s="1"/>
  <c r="O28" i="215"/>
  <c r="O27" i="215"/>
  <c r="Q27" i="215" s="1"/>
  <c r="U27" i="215" s="1"/>
  <c r="O26" i="215"/>
  <c r="Q26" i="215" s="1"/>
  <c r="U26" i="215" s="1"/>
  <c r="O25" i="215"/>
  <c r="Q25" i="215" s="1"/>
  <c r="U25" i="215" s="1"/>
  <c r="O24" i="215"/>
  <c r="Q24" i="215" s="1"/>
  <c r="U24" i="215" s="1"/>
  <c r="O23" i="215"/>
  <c r="Q23" i="215" s="1"/>
  <c r="U23" i="215" s="1"/>
  <c r="O22" i="215"/>
  <c r="Q22" i="215" s="1"/>
  <c r="U22" i="215" s="1"/>
  <c r="O21" i="215"/>
  <c r="Q21" i="215" s="1"/>
  <c r="U21" i="215" s="1"/>
  <c r="O20" i="215"/>
  <c r="Q20" i="215" s="1"/>
  <c r="U20" i="215" s="1"/>
  <c r="O19" i="215"/>
  <c r="Q19" i="215" s="1"/>
  <c r="U19" i="215" s="1"/>
  <c r="O18" i="215"/>
  <c r="Q18" i="215" s="1"/>
  <c r="U18" i="215" s="1"/>
  <c r="O17" i="215"/>
  <c r="Q17" i="215" s="1"/>
  <c r="U17" i="215" s="1"/>
  <c r="O16" i="215"/>
  <c r="Q16" i="215" s="1"/>
  <c r="U16" i="215" s="1"/>
  <c r="O15" i="215"/>
  <c r="Q15" i="215" s="1"/>
  <c r="U15" i="215" s="1"/>
  <c r="O14" i="215"/>
  <c r="Q14" i="215" s="1"/>
  <c r="U14" i="215" s="1"/>
  <c r="O13" i="215"/>
  <c r="Q13" i="215" s="1"/>
  <c r="U13" i="215" s="1"/>
  <c r="Q12" i="215"/>
  <c r="U12" i="215" s="1"/>
  <c r="O12" i="215"/>
  <c r="O11" i="215"/>
  <c r="Q11" i="215" s="1"/>
  <c r="U11" i="215" s="1"/>
  <c r="O10" i="215"/>
  <c r="Q10" i="215" s="1"/>
  <c r="U10" i="215" s="1"/>
  <c r="O9" i="215"/>
  <c r="M9" i="215"/>
  <c r="M10" i="215" s="1"/>
  <c r="M11" i="215" s="1"/>
  <c r="M12" i="215" s="1"/>
  <c r="M13" i="215" s="1"/>
  <c r="M14" i="215" s="1"/>
  <c r="M15" i="215" s="1"/>
  <c r="M16" i="215" s="1"/>
  <c r="M17" i="215" s="1"/>
  <c r="M18" i="215" s="1"/>
  <c r="M19" i="215" s="1"/>
  <c r="M20" i="215" s="1"/>
  <c r="M21" i="215" s="1"/>
  <c r="M22" i="215" s="1"/>
  <c r="M23" i="215" s="1"/>
  <c r="M24" i="215" s="1"/>
  <c r="M25" i="215" s="1"/>
  <c r="M26" i="215" s="1"/>
  <c r="M27" i="215" s="1"/>
  <c r="M28" i="215" s="1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P111" i="40"/>
  <c r="R111" i="40" s="1"/>
  <c r="W111" i="40" s="1"/>
  <c r="R110" i="40"/>
  <c r="W110" i="40" s="1"/>
  <c r="P110" i="40"/>
  <c r="R109" i="40"/>
  <c r="W109" i="40" s="1"/>
  <c r="P109" i="40"/>
  <c r="R108" i="40"/>
  <c r="W108" i="40" s="1"/>
  <c r="P108" i="40"/>
  <c r="W107" i="40"/>
  <c r="P107" i="40"/>
  <c r="R107" i="40" s="1"/>
  <c r="R106" i="40"/>
  <c r="W106" i="40" s="1"/>
  <c r="P106" i="40"/>
  <c r="R105" i="40"/>
  <c r="W105" i="40" s="1"/>
  <c r="P105" i="40"/>
  <c r="R104" i="40"/>
  <c r="W104" i="40" s="1"/>
  <c r="P104" i="40"/>
  <c r="P103" i="40"/>
  <c r="R103" i="40" s="1"/>
  <c r="W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W95" i="40"/>
  <c r="P95" i="40"/>
  <c r="R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W90" i="40"/>
  <c r="R90" i="40"/>
  <c r="P90" i="40"/>
  <c r="R89" i="40"/>
  <c r="W89" i="40" s="1"/>
  <c r="P89" i="40"/>
  <c r="R88" i="40"/>
  <c r="W88" i="40" s="1"/>
  <c r="P88" i="40"/>
  <c r="P87" i="40"/>
  <c r="R87" i="40" s="1"/>
  <c r="W87" i="40" s="1"/>
  <c r="W86" i="40"/>
  <c r="R86" i="40"/>
  <c r="P86" i="40"/>
  <c r="R85" i="40"/>
  <c r="W85" i="40" s="1"/>
  <c r="P85" i="40"/>
  <c r="R84" i="40"/>
  <c r="W84" i="40" s="1"/>
  <c r="P84" i="40"/>
  <c r="P83" i="40"/>
  <c r="R83" i="40" s="1"/>
  <c r="W83" i="40" s="1"/>
  <c r="P82" i="40"/>
  <c r="R82" i="40" s="1"/>
  <c r="W82" i="40" s="1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P75" i="40"/>
  <c r="R75" i="40" s="1"/>
  <c r="W75" i="40" s="1"/>
  <c r="R74" i="40"/>
  <c r="W74" i="40" s="1"/>
  <c r="P74" i="40"/>
  <c r="R73" i="40"/>
  <c r="W73" i="40" s="1"/>
  <c r="P73" i="40"/>
  <c r="R72" i="40"/>
  <c r="W72" i="40" s="1"/>
  <c r="P72" i="40"/>
  <c r="P71" i="40"/>
  <c r="R71" i="40" s="1"/>
  <c r="W71" i="40" s="1"/>
  <c r="R70" i="40"/>
  <c r="W70" i="40" s="1"/>
  <c r="P70" i="40"/>
  <c r="R69" i="40"/>
  <c r="W69" i="40" s="1"/>
  <c r="P69" i="40"/>
  <c r="R68" i="40"/>
  <c r="W68" i="40" s="1"/>
  <c r="P68" i="40"/>
  <c r="P67" i="40"/>
  <c r="R67" i="40" s="1"/>
  <c r="W67" i="40" s="1"/>
  <c r="R66" i="40"/>
  <c r="W66" i="40" s="1"/>
  <c r="P66" i="40"/>
  <c r="R65" i="40"/>
  <c r="W65" i="40" s="1"/>
  <c r="P65" i="40"/>
  <c r="R64" i="40"/>
  <c r="W64" i="40" s="1"/>
  <c r="P64" i="40"/>
  <c r="P63" i="40"/>
  <c r="R63" i="40" s="1"/>
  <c r="W63" i="40" s="1"/>
  <c r="R62" i="40"/>
  <c r="W62" i="40" s="1"/>
  <c r="P62" i="40"/>
  <c r="R61" i="40"/>
  <c r="W61" i="40" s="1"/>
  <c r="P61" i="40"/>
  <c r="R60" i="40"/>
  <c r="W60" i="40" s="1"/>
  <c r="P60" i="40"/>
  <c r="P59" i="40"/>
  <c r="R59" i="40" s="1"/>
  <c r="W59" i="40" s="1"/>
  <c r="R58" i="40"/>
  <c r="W58" i="40" s="1"/>
  <c r="P58" i="40"/>
  <c r="R57" i="40"/>
  <c r="W57" i="40" s="1"/>
  <c r="P57" i="40"/>
  <c r="R56" i="40"/>
  <c r="W56" i="40" s="1"/>
  <c r="P56" i="40"/>
  <c r="P55" i="40"/>
  <c r="R55" i="40" s="1"/>
  <c r="W55" i="40" s="1"/>
  <c r="R54" i="40"/>
  <c r="W54" i="40" s="1"/>
  <c r="P54" i="40"/>
  <c r="R53" i="40"/>
  <c r="W53" i="40" s="1"/>
  <c r="P53" i="40"/>
  <c r="R52" i="40"/>
  <c r="W52" i="40" s="1"/>
  <c r="P52" i="40"/>
  <c r="P51" i="40"/>
  <c r="R51" i="40" s="1"/>
  <c r="W51" i="40" s="1"/>
  <c r="R50" i="40"/>
  <c r="W50" i="40" s="1"/>
  <c r="P50" i="40"/>
  <c r="R49" i="40"/>
  <c r="W49" i="40" s="1"/>
  <c r="P49" i="40"/>
  <c r="R48" i="40"/>
  <c r="W48" i="40" s="1"/>
  <c r="P48" i="40"/>
  <c r="P47" i="40"/>
  <c r="R47" i="40" s="1"/>
  <c r="W47" i="40" s="1"/>
  <c r="R46" i="40"/>
  <c r="W46" i="40" s="1"/>
  <c r="P46" i="40"/>
  <c r="R45" i="40"/>
  <c r="W45" i="40" s="1"/>
  <c r="P45" i="40"/>
  <c r="R44" i="40"/>
  <c r="W44" i="40" s="1"/>
  <c r="P44" i="40"/>
  <c r="P43" i="40"/>
  <c r="R43" i="40" s="1"/>
  <c r="W43" i="40" s="1"/>
  <c r="R42" i="40"/>
  <c r="W42" i="40" s="1"/>
  <c r="P42" i="40"/>
  <c r="R41" i="40"/>
  <c r="W41" i="40" s="1"/>
  <c r="P41" i="40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P35" i="40"/>
  <c r="R35" i="40" s="1"/>
  <c r="W35" i="40" s="1"/>
  <c r="P34" i="40"/>
  <c r="R34" i="40" s="1"/>
  <c r="W34" i="40" s="1"/>
  <c r="P33" i="40"/>
  <c r="R33" i="40" s="1"/>
  <c r="W33" i="40" s="1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R26" i="40"/>
  <c r="W26" i="40" s="1"/>
  <c r="P26" i="40"/>
  <c r="P25" i="40"/>
  <c r="R25" i="40" s="1"/>
  <c r="W25" i="40" s="1"/>
  <c r="R24" i="40"/>
  <c r="W24" i="40" s="1"/>
  <c r="P24" i="40"/>
  <c r="R23" i="40"/>
  <c r="W23" i="40" s="1"/>
  <c r="P23" i="40"/>
  <c r="R22" i="40"/>
  <c r="W22" i="40" s="1"/>
  <c r="P22" i="40"/>
  <c r="P21" i="40"/>
  <c r="R21" i="40" s="1"/>
  <c r="W21" i="40" s="1"/>
  <c r="P20" i="40"/>
  <c r="R20" i="40" s="1"/>
  <c r="W20" i="40" s="1"/>
  <c r="R19" i="40"/>
  <c r="W19" i="40" s="1"/>
  <c r="P19" i="40"/>
  <c r="P18" i="40"/>
  <c r="R18" i="40" s="1"/>
  <c r="W18" i="40" s="1"/>
  <c r="P17" i="40"/>
  <c r="R17" i="40" s="1"/>
  <c r="W17" i="40" s="1"/>
  <c r="R16" i="40"/>
  <c r="W16" i="40" s="1"/>
  <c r="P16" i="40"/>
  <c r="R15" i="40"/>
  <c r="W15" i="40" s="1"/>
  <c r="P15" i="40"/>
  <c r="R14" i="40"/>
  <c r="W14" i="40" s="1"/>
  <c r="P14" i="40"/>
  <c r="P13" i="40"/>
  <c r="R13" i="40" s="1"/>
  <c r="W13" i="40" s="1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AB30" i="189" l="1"/>
  <c r="AA33" i="189" s="1"/>
  <c r="AE8" i="189"/>
  <c r="AE9" i="189" s="1"/>
  <c r="AE10" i="189" s="1"/>
  <c r="AE11" i="189" s="1"/>
  <c r="AE12" i="189" s="1"/>
  <c r="AE13" i="189" s="1"/>
  <c r="AE14" i="189" s="1"/>
  <c r="AE15" i="189" s="1"/>
  <c r="AE16" i="189" s="1"/>
  <c r="AE17" i="189" s="1"/>
  <c r="AE18" i="189" s="1"/>
  <c r="AE19" i="189" s="1"/>
  <c r="AE20" i="189" s="1"/>
  <c r="AE21" i="189" s="1"/>
  <c r="AE22" i="189" s="1"/>
  <c r="AE23" i="189" s="1"/>
  <c r="AE24" i="189" s="1"/>
  <c r="AE25" i="189" s="1"/>
  <c r="AE26" i="189" s="1"/>
  <c r="AE27" i="189" s="1"/>
  <c r="AE28" i="189" s="1"/>
  <c r="T8" i="220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M29" i="215"/>
  <c r="M30" i="215" s="1"/>
  <c r="M31" i="215" s="1"/>
  <c r="M32" i="215" s="1"/>
  <c r="M33" i="215" s="1"/>
  <c r="M34" i="215" s="1"/>
  <c r="M35" i="215" s="1"/>
  <c r="M36" i="215" s="1"/>
  <c r="M37" i="215" s="1"/>
  <c r="M38" i="215" s="1"/>
  <c r="M39" i="215" s="1"/>
  <c r="M40" i="215" s="1"/>
  <c r="M41" i="215" s="1"/>
  <c r="M42" i="215" s="1"/>
  <c r="M43" i="215" s="1"/>
  <c r="M44" i="215" s="1"/>
  <c r="M45" i="215" s="1"/>
  <c r="M46" i="215" s="1"/>
  <c r="M47" i="215" s="1"/>
  <c r="M48" i="215" s="1"/>
  <c r="M49" i="215" s="1"/>
  <c r="M50" i="215" s="1"/>
  <c r="M51" i="215" s="1"/>
  <c r="M52" i="215" s="1"/>
  <c r="M53" i="215" s="1"/>
  <c r="M54" i="215" s="1"/>
  <c r="M55" i="215" s="1"/>
  <c r="M56" i="215" s="1"/>
  <c r="M57" i="215" s="1"/>
  <c r="M58" i="215" s="1"/>
  <c r="M59" i="215" s="1"/>
  <c r="M60" i="215" s="1"/>
  <c r="M61" i="215" s="1"/>
  <c r="M62" i="215" s="1"/>
  <c r="M63" i="215" s="1"/>
  <c r="M64" i="215" s="1"/>
  <c r="M65" i="215" s="1"/>
  <c r="M66" i="215" s="1"/>
  <c r="M67" i="215" s="1"/>
  <c r="M75" i="215"/>
  <c r="O76" i="215"/>
  <c r="Q9" i="215"/>
  <c r="P115" i="40"/>
  <c r="R9" i="40"/>
  <c r="X100" i="38"/>
  <c r="Q100" i="38"/>
  <c r="S100" i="38" s="1"/>
  <c r="T100" i="38" s="1"/>
  <c r="I100" i="38"/>
  <c r="S101" i="38"/>
  <c r="T101" i="38"/>
  <c r="I101" i="38"/>
  <c r="AC5" i="189" l="1"/>
  <c r="AD5" i="189" s="1"/>
  <c r="Q76" i="215"/>
  <c r="R5" i="215" s="1"/>
  <c r="U9" i="215"/>
  <c r="U75" i="215" s="1"/>
  <c r="T9" i="215"/>
  <c r="T10" i="215" s="1"/>
  <c r="T11" i="215" s="1"/>
  <c r="T12" i="215" s="1"/>
  <c r="T13" i="215" s="1"/>
  <c r="T14" i="215" s="1"/>
  <c r="T15" i="215" s="1"/>
  <c r="T16" i="215" s="1"/>
  <c r="T17" i="215" s="1"/>
  <c r="T18" i="215" s="1"/>
  <c r="T19" i="215" s="1"/>
  <c r="T20" i="215" s="1"/>
  <c r="T21" i="215" s="1"/>
  <c r="T22" i="215" s="1"/>
  <c r="T23" i="215" s="1"/>
  <c r="T24" i="215" s="1"/>
  <c r="T25" i="215" s="1"/>
  <c r="T26" i="215" s="1"/>
  <c r="T27" i="215" s="1"/>
  <c r="T28" i="215" s="1"/>
  <c r="T29" i="215" s="1"/>
  <c r="T30" i="215" s="1"/>
  <c r="T31" i="215" s="1"/>
  <c r="T32" i="215" s="1"/>
  <c r="T33" i="215" s="1"/>
  <c r="T34" i="215" s="1"/>
  <c r="T35" i="215" s="1"/>
  <c r="T36" i="215" s="1"/>
  <c r="T37" i="215" s="1"/>
  <c r="T38" i="215" s="1"/>
  <c r="T39" i="215" s="1"/>
  <c r="T40" i="215" s="1"/>
  <c r="T41" i="215" s="1"/>
  <c r="T42" i="215" s="1"/>
  <c r="T43" i="215" s="1"/>
  <c r="T44" i="215" s="1"/>
  <c r="T45" i="215" s="1"/>
  <c r="T46" i="215" s="1"/>
  <c r="T47" i="215" s="1"/>
  <c r="T48" i="215" s="1"/>
  <c r="T49" i="215" s="1"/>
  <c r="T50" i="215" s="1"/>
  <c r="T51" i="215" s="1"/>
  <c r="T52" i="215" s="1"/>
  <c r="T53" i="215" s="1"/>
  <c r="T54" i="215" s="1"/>
  <c r="T55" i="215" s="1"/>
  <c r="T56" i="215" s="1"/>
  <c r="T57" i="215" s="1"/>
  <c r="T58" i="215" s="1"/>
  <c r="T59" i="215" s="1"/>
  <c r="T60" i="215" s="1"/>
  <c r="T61" i="215" s="1"/>
  <c r="T62" i="215" s="1"/>
  <c r="T63" i="215" s="1"/>
  <c r="T64" i="215" s="1"/>
  <c r="T65" i="215" s="1"/>
  <c r="T66" i="215" s="1"/>
  <c r="T67" i="215" s="1"/>
  <c r="T68" i="215" s="1"/>
  <c r="T69" i="215" s="1"/>
  <c r="T70" i="215" s="1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09" i="38"/>
  <c r="S5" i="215" l="1"/>
  <c r="Q78" i="215"/>
  <c r="Q120" i="40"/>
  <c r="S5" i="40"/>
  <c r="T5" i="40" s="1"/>
  <c r="S114" i="38"/>
  <c r="T114" i="38" s="1"/>
  <c r="I114" i="38"/>
  <c r="Q23" i="38"/>
  <c r="Q22" i="38" l="1"/>
  <c r="Q21" i="38"/>
  <c r="Q19" i="38" l="1"/>
  <c r="Q13" i="38"/>
  <c r="Q18" i="38"/>
  <c r="Q17" i="38" l="1"/>
  <c r="Q16" i="38"/>
  <c r="Q15" i="38" l="1"/>
  <c r="Q5" i="38" l="1"/>
  <c r="AR78" i="188" l="1"/>
  <c r="AQ78" i="188"/>
  <c r="AS81" i="188" s="1"/>
  <c r="AT76" i="188"/>
  <c r="AT75" i="188"/>
  <c r="AT74" i="188"/>
  <c r="AT73" i="188"/>
  <c r="AT72" i="188"/>
  <c r="AT71" i="188"/>
  <c r="AT70" i="188"/>
  <c r="AT69" i="188"/>
  <c r="AT68" i="188"/>
  <c r="AT67" i="188"/>
  <c r="AT66" i="188"/>
  <c r="AT65" i="188"/>
  <c r="AT64" i="188"/>
  <c r="AT63" i="188"/>
  <c r="AT62" i="188"/>
  <c r="AT61" i="188"/>
  <c r="AT60" i="188"/>
  <c r="AT59" i="188"/>
  <c r="AT58" i="188"/>
  <c r="AT57" i="188"/>
  <c r="AT56" i="188"/>
  <c r="AT55" i="188"/>
  <c r="AT54" i="188"/>
  <c r="AT53" i="188"/>
  <c r="AT52" i="188"/>
  <c r="AT51" i="188"/>
  <c r="AT50" i="188"/>
  <c r="AT49" i="188"/>
  <c r="AT48" i="188"/>
  <c r="AT47" i="188"/>
  <c r="AT46" i="188"/>
  <c r="AT45" i="188"/>
  <c r="AT44" i="188"/>
  <c r="AT43" i="188"/>
  <c r="AT42" i="188"/>
  <c r="AT41" i="188"/>
  <c r="AT40" i="188"/>
  <c r="AT39" i="188"/>
  <c r="AT38" i="188"/>
  <c r="AT37" i="188"/>
  <c r="AT36" i="188"/>
  <c r="AT35" i="188"/>
  <c r="AT34" i="188"/>
  <c r="AT33" i="188"/>
  <c r="AT32" i="188"/>
  <c r="AT31" i="188"/>
  <c r="AT30" i="188"/>
  <c r="AT29" i="188"/>
  <c r="AT28" i="188"/>
  <c r="AT27" i="188"/>
  <c r="AT26" i="188"/>
  <c r="AT25" i="188"/>
  <c r="AT24" i="188"/>
  <c r="AT23" i="188"/>
  <c r="AT22" i="188"/>
  <c r="AT21" i="188"/>
  <c r="AT20" i="188"/>
  <c r="AT19" i="188"/>
  <c r="AT18" i="188"/>
  <c r="AT17" i="188"/>
  <c r="AT16" i="188"/>
  <c r="AT15" i="188"/>
  <c r="AT14" i="188"/>
  <c r="AT13" i="188"/>
  <c r="AT12" i="188"/>
  <c r="AT11" i="188"/>
  <c r="AT10" i="188"/>
  <c r="AW9" i="188"/>
  <c r="AW10" i="188" s="1"/>
  <c r="AW11" i="188" s="1"/>
  <c r="AW12" i="188" s="1"/>
  <c r="AW13" i="188" s="1"/>
  <c r="AW14" i="188" s="1"/>
  <c r="AW15" i="188" s="1"/>
  <c r="AW16" i="188" s="1"/>
  <c r="AW17" i="188" s="1"/>
  <c r="AW18" i="188" s="1"/>
  <c r="AW19" i="188" s="1"/>
  <c r="AW20" i="188" s="1"/>
  <c r="AW21" i="188" s="1"/>
  <c r="AW22" i="188" s="1"/>
  <c r="AW23" i="188" s="1"/>
  <c r="AW24" i="188" s="1"/>
  <c r="AW25" i="188" s="1"/>
  <c r="AW26" i="188" s="1"/>
  <c r="AW27" i="188" s="1"/>
  <c r="AW28" i="188" s="1"/>
  <c r="AW29" i="188" s="1"/>
  <c r="AW30" i="188" s="1"/>
  <c r="AW31" i="188" s="1"/>
  <c r="AW32" i="188" s="1"/>
  <c r="AW33" i="188" s="1"/>
  <c r="AW34" i="188" s="1"/>
  <c r="AW35" i="188" s="1"/>
  <c r="AW36" i="188" s="1"/>
  <c r="AW37" i="188" s="1"/>
  <c r="AW38" i="188" s="1"/>
  <c r="AW39" i="188" s="1"/>
  <c r="AW40" i="188" s="1"/>
  <c r="AW41" i="188" s="1"/>
  <c r="AW42" i="188" s="1"/>
  <c r="AW43" i="188" s="1"/>
  <c r="AW44" i="188" s="1"/>
  <c r="AW45" i="188" s="1"/>
  <c r="AW46" i="188" s="1"/>
  <c r="AW47" i="188" s="1"/>
  <c r="AW48" i="188" s="1"/>
  <c r="AW49" i="188" s="1"/>
  <c r="AW50" i="188" s="1"/>
  <c r="AW51" i="188" s="1"/>
  <c r="AW52" i="188" s="1"/>
  <c r="AW53" i="188" s="1"/>
  <c r="AW54" i="188" s="1"/>
  <c r="AW55" i="188" s="1"/>
  <c r="AW56" i="188" s="1"/>
  <c r="AW57" i="188" s="1"/>
  <c r="AW58" i="188" s="1"/>
  <c r="AW59" i="188" s="1"/>
  <c r="AW60" i="188" s="1"/>
  <c r="AW61" i="188" s="1"/>
  <c r="AW62" i="188" s="1"/>
  <c r="AW63" i="188" s="1"/>
  <c r="AW64" i="188" s="1"/>
  <c r="AW65" i="188" s="1"/>
  <c r="AW66" i="188" s="1"/>
  <c r="AW67" i="188" s="1"/>
  <c r="AW68" i="188" s="1"/>
  <c r="AW69" i="188" s="1"/>
  <c r="AW70" i="188" s="1"/>
  <c r="AW71" i="188" s="1"/>
  <c r="AW72" i="188" s="1"/>
  <c r="AW73" i="188" s="1"/>
  <c r="AW74" i="188" s="1"/>
  <c r="AW75" i="188" s="1"/>
  <c r="AW76" i="188" s="1"/>
  <c r="AT9" i="188"/>
  <c r="AP9" i="188"/>
  <c r="AP10" i="188" s="1"/>
  <c r="AP11" i="188" s="1"/>
  <c r="AP12" i="188" s="1"/>
  <c r="AP13" i="188" s="1"/>
  <c r="AP14" i="188" s="1"/>
  <c r="AP15" i="188" s="1"/>
  <c r="AP16" i="188" s="1"/>
  <c r="AP17" i="188" s="1"/>
  <c r="AP18" i="188" s="1"/>
  <c r="AP19" i="188" s="1"/>
  <c r="AP20" i="188" s="1"/>
  <c r="AP21" i="188" s="1"/>
  <c r="AP22" i="188" s="1"/>
  <c r="AP23" i="188" s="1"/>
  <c r="AP24" i="188" s="1"/>
  <c r="AP25" i="188" s="1"/>
  <c r="AP26" i="188" s="1"/>
  <c r="AP27" i="188" s="1"/>
  <c r="AP28" i="188" s="1"/>
  <c r="AP29" i="188" s="1"/>
  <c r="AP30" i="188" s="1"/>
  <c r="AP31" i="188" s="1"/>
  <c r="AP32" i="188" s="1"/>
  <c r="AP33" i="188" s="1"/>
  <c r="AP34" i="188" s="1"/>
  <c r="AP35" i="188" s="1"/>
  <c r="AP36" i="188" s="1"/>
  <c r="AP37" i="188" s="1"/>
  <c r="AP38" i="188" s="1"/>
  <c r="AP39" i="188" s="1"/>
  <c r="AP40" i="188" s="1"/>
  <c r="AP41" i="188" s="1"/>
  <c r="AP42" i="188" s="1"/>
  <c r="AP43" i="188" s="1"/>
  <c r="AP44" i="188" s="1"/>
  <c r="AP45" i="188" s="1"/>
  <c r="AP46" i="188" s="1"/>
  <c r="AP47" i="188" s="1"/>
  <c r="AP48" i="188" s="1"/>
  <c r="AP49" i="188" s="1"/>
  <c r="AP50" i="188" s="1"/>
  <c r="AP51" i="188" s="1"/>
  <c r="AP52" i="188" s="1"/>
  <c r="AP53" i="188" s="1"/>
  <c r="AP54" i="188" s="1"/>
  <c r="AP55" i="188" s="1"/>
  <c r="AP56" i="188" s="1"/>
  <c r="AP57" i="188" s="1"/>
  <c r="AP58" i="188" s="1"/>
  <c r="AP59" i="188" s="1"/>
  <c r="AP60" i="188" s="1"/>
  <c r="AP61" i="188" s="1"/>
  <c r="AP62" i="188" s="1"/>
  <c r="AP63" i="188" s="1"/>
  <c r="AP64" i="188" s="1"/>
  <c r="AP65" i="188" s="1"/>
  <c r="AP66" i="188" s="1"/>
  <c r="AP67" i="188" s="1"/>
  <c r="AP68" i="188" s="1"/>
  <c r="AP69" i="188" s="1"/>
  <c r="AP70" i="188" s="1"/>
  <c r="AP71" i="188" s="1"/>
  <c r="AP72" i="188" s="1"/>
  <c r="AP73" i="188" s="1"/>
  <c r="AP74" i="188" s="1"/>
  <c r="AP75" i="188" s="1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M10" i="188" l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T78" i="188"/>
  <c r="AU6" i="188" s="1"/>
  <c r="AV6" i="188" s="1"/>
  <c r="AS83" i="188"/>
  <c r="AJ78" i="188"/>
  <c r="AK6" i="188" s="1"/>
  <c r="AL6" i="188" s="1"/>
  <c r="AI83" i="188"/>
  <c r="F35" i="228"/>
  <c r="H6" i="228" s="1"/>
  <c r="Q12" i="38"/>
  <c r="E40" i="228" l="1"/>
  <c r="Q11" i="38"/>
  <c r="Q10" i="38"/>
  <c r="Q9" i="38"/>
  <c r="Q8" i="38"/>
  <c r="Q7" i="38"/>
  <c r="Q6" i="38"/>
  <c r="Q104" i="38" l="1"/>
  <c r="Q103" i="38"/>
  <c r="O79" i="129" l="1"/>
  <c r="N79" i="129"/>
  <c r="P82" i="129" s="1"/>
  <c r="Q77" i="129"/>
  <c r="U77" i="129" s="1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U37" i="129"/>
  <c r="Q37" i="129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U29" i="129"/>
  <c r="Q29" i="129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Q79" i="129" l="1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N36" i="157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S10" i="197"/>
  <c r="L11" i="197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S11" i="197" l="1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84" i="129"/>
  <c r="R6" i="129"/>
  <c r="S6" i="129" s="1"/>
  <c r="P36" i="157"/>
  <c r="Q5" i="157" s="1"/>
  <c r="R5" i="157" s="1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P79" i="197"/>
  <c r="N39" i="203"/>
  <c r="M39" i="203"/>
  <c r="P42" i="203" s="1"/>
  <c r="K39" i="203"/>
  <c r="P38" i="203"/>
  <c r="P37" i="203"/>
  <c r="P36" i="203"/>
  <c r="P35" i="203"/>
  <c r="P34" i="203"/>
  <c r="P33" i="203"/>
  <c r="P32" i="203"/>
  <c r="P31" i="203"/>
  <c r="P30" i="203"/>
  <c r="P29" i="203"/>
  <c r="P28" i="203"/>
  <c r="P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S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O110" i="65"/>
  <c r="P112" i="65" s="1"/>
  <c r="R109" i="65"/>
  <c r="P109" i="65"/>
  <c r="R108" i="65"/>
  <c r="W108" i="65" s="1"/>
  <c r="P108" i="65"/>
  <c r="P107" i="65"/>
  <c r="R107" i="65" s="1"/>
  <c r="W107" i="65" s="1"/>
  <c r="R106" i="65"/>
  <c r="W106" i="65" s="1"/>
  <c r="P106" i="65"/>
  <c r="R105" i="65"/>
  <c r="W105" i="65" s="1"/>
  <c r="P105" i="65"/>
  <c r="R104" i="65"/>
  <c r="W104" i="65" s="1"/>
  <c r="P104" i="65"/>
  <c r="W103" i="65"/>
  <c r="P103" i="65"/>
  <c r="R103" i="65" s="1"/>
  <c r="P102" i="65"/>
  <c r="R102" i="65" s="1"/>
  <c r="W102" i="65" s="1"/>
  <c r="R101" i="65"/>
  <c r="W101" i="65" s="1"/>
  <c r="P101" i="65"/>
  <c r="R100" i="65"/>
  <c r="W100" i="65" s="1"/>
  <c r="P100" i="65"/>
  <c r="W99" i="65"/>
  <c r="P99" i="65"/>
  <c r="R99" i="65" s="1"/>
  <c r="P98" i="65"/>
  <c r="R98" i="65" s="1"/>
  <c r="W98" i="65" s="1"/>
  <c r="R97" i="65"/>
  <c r="W97" i="65" s="1"/>
  <c r="P97" i="65"/>
  <c r="R96" i="65"/>
  <c r="W96" i="65" s="1"/>
  <c r="P96" i="65"/>
  <c r="W95" i="65"/>
  <c r="P95" i="65"/>
  <c r="R95" i="65" s="1"/>
  <c r="R94" i="65"/>
  <c r="W94" i="65" s="1"/>
  <c r="P94" i="65"/>
  <c r="R93" i="65"/>
  <c r="W93" i="65" s="1"/>
  <c r="P93" i="65"/>
  <c r="R92" i="65"/>
  <c r="W92" i="65" s="1"/>
  <c r="P92" i="65"/>
  <c r="P91" i="65"/>
  <c r="R91" i="65" s="1"/>
  <c r="W91" i="65" s="1"/>
  <c r="P90" i="65"/>
  <c r="R90" i="65" s="1"/>
  <c r="W90" i="65" s="1"/>
  <c r="R89" i="65"/>
  <c r="W89" i="65" s="1"/>
  <c r="P89" i="65"/>
  <c r="R88" i="65"/>
  <c r="W88" i="65" s="1"/>
  <c r="P88" i="65"/>
  <c r="P87" i="65"/>
  <c r="R87" i="65" s="1"/>
  <c r="W87" i="65" s="1"/>
  <c r="P86" i="65"/>
  <c r="R86" i="65" s="1"/>
  <c r="W86" i="65" s="1"/>
  <c r="R85" i="65"/>
  <c r="W85" i="65" s="1"/>
  <c r="P85" i="65"/>
  <c r="R84" i="65"/>
  <c r="W84" i="65" s="1"/>
  <c r="P84" i="65"/>
  <c r="W83" i="65"/>
  <c r="P83" i="65"/>
  <c r="R83" i="65" s="1"/>
  <c r="P82" i="65"/>
  <c r="R82" i="65" s="1"/>
  <c r="W82" i="65" s="1"/>
  <c r="R81" i="65"/>
  <c r="W81" i="65" s="1"/>
  <c r="P81" i="65"/>
  <c r="R80" i="65"/>
  <c r="W80" i="65" s="1"/>
  <c r="P80" i="65"/>
  <c r="W79" i="65"/>
  <c r="P79" i="65"/>
  <c r="R79" i="65" s="1"/>
  <c r="R78" i="65"/>
  <c r="W78" i="65" s="1"/>
  <c r="P78" i="65"/>
  <c r="R77" i="65"/>
  <c r="W77" i="65" s="1"/>
  <c r="P77" i="65"/>
  <c r="R76" i="65"/>
  <c r="W76" i="65" s="1"/>
  <c r="P76" i="65"/>
  <c r="P75" i="65"/>
  <c r="R75" i="65" s="1"/>
  <c r="W75" i="65" s="1"/>
  <c r="P74" i="65"/>
  <c r="R74" i="65" s="1"/>
  <c r="W74" i="65" s="1"/>
  <c r="R73" i="65"/>
  <c r="W73" i="65" s="1"/>
  <c r="P73" i="65"/>
  <c r="R72" i="65"/>
  <c r="W72" i="65" s="1"/>
  <c r="P72" i="65"/>
  <c r="P71" i="65"/>
  <c r="R71" i="65" s="1"/>
  <c r="W71" i="65" s="1"/>
  <c r="P70" i="65"/>
  <c r="R70" i="65" s="1"/>
  <c r="W70" i="65" s="1"/>
  <c r="R69" i="65"/>
  <c r="W69" i="65" s="1"/>
  <c r="P69" i="65"/>
  <c r="R68" i="65"/>
  <c r="W68" i="65" s="1"/>
  <c r="P68" i="65"/>
  <c r="W67" i="65"/>
  <c r="P67" i="65"/>
  <c r="R67" i="65" s="1"/>
  <c r="P66" i="65"/>
  <c r="R66" i="65" s="1"/>
  <c r="W66" i="65" s="1"/>
  <c r="R65" i="65"/>
  <c r="W65" i="65" s="1"/>
  <c r="P65" i="65"/>
  <c r="R64" i="65"/>
  <c r="W64" i="65" s="1"/>
  <c r="P64" i="65"/>
  <c r="W63" i="65"/>
  <c r="P63" i="65"/>
  <c r="R63" i="65" s="1"/>
  <c r="R62" i="65"/>
  <c r="W62" i="65" s="1"/>
  <c r="P62" i="65"/>
  <c r="R61" i="65"/>
  <c r="W61" i="65" s="1"/>
  <c r="P61" i="65"/>
  <c r="R60" i="65"/>
  <c r="W60" i="65" s="1"/>
  <c r="P60" i="65"/>
  <c r="P59" i="65"/>
  <c r="R59" i="65" s="1"/>
  <c r="W59" i="65" s="1"/>
  <c r="P58" i="65"/>
  <c r="R58" i="65" s="1"/>
  <c r="W58" i="65" s="1"/>
  <c r="R57" i="65"/>
  <c r="W57" i="65" s="1"/>
  <c r="P57" i="65"/>
  <c r="R56" i="65"/>
  <c r="W56" i="65" s="1"/>
  <c r="P56" i="65"/>
  <c r="P55" i="65"/>
  <c r="R55" i="65" s="1"/>
  <c r="W55" i="65" s="1"/>
  <c r="P54" i="65"/>
  <c r="R54" i="65" s="1"/>
  <c r="W54" i="65" s="1"/>
  <c r="R53" i="65"/>
  <c r="W53" i="65" s="1"/>
  <c r="P53" i="65"/>
  <c r="R52" i="65"/>
  <c r="W52" i="65" s="1"/>
  <c r="P52" i="65"/>
  <c r="W51" i="65"/>
  <c r="P51" i="65"/>
  <c r="R51" i="65" s="1"/>
  <c r="R50" i="65"/>
  <c r="W50" i="65" s="1"/>
  <c r="P50" i="65"/>
  <c r="R49" i="65"/>
  <c r="W49" i="65" s="1"/>
  <c r="P49" i="65"/>
  <c r="P48" i="65"/>
  <c r="R48" i="65" s="1"/>
  <c r="W48" i="65" s="1"/>
  <c r="P47" i="65"/>
  <c r="R47" i="65" s="1"/>
  <c r="W47" i="65" s="1"/>
  <c r="R46" i="65"/>
  <c r="W46" i="65" s="1"/>
  <c r="P46" i="65"/>
  <c r="P45" i="65"/>
  <c r="R45" i="65" s="1"/>
  <c r="W45" i="65" s="1"/>
  <c r="R44" i="65"/>
  <c r="W44" i="65" s="1"/>
  <c r="P44" i="65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R38" i="65"/>
  <c r="W38" i="65" s="1"/>
  <c r="P38" i="65"/>
  <c r="P37" i="65"/>
  <c r="R37" i="65" s="1"/>
  <c r="W37" i="65" s="1"/>
  <c r="P36" i="65"/>
  <c r="R36" i="65" s="1"/>
  <c r="W36" i="65" s="1"/>
  <c r="P35" i="65"/>
  <c r="R35" i="65" s="1"/>
  <c r="W35" i="65" s="1"/>
  <c r="R34" i="65"/>
  <c r="W34" i="65" s="1"/>
  <c r="P34" i="65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W20" i="65"/>
  <c r="P20" i="65"/>
  <c r="R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W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O53" i="57" l="1"/>
  <c r="P38" i="157"/>
  <c r="O84" i="197"/>
  <c r="Q7" i="197"/>
  <c r="R7" i="197" s="1"/>
  <c r="P39" i="203"/>
  <c r="Q6" i="203" s="1"/>
  <c r="R6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110" i="65"/>
  <c r="L1" i="189"/>
  <c r="F12" i="200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P41" i="203"/>
  <c r="R110" i="65"/>
  <c r="W10" i="65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F10" i="54"/>
  <c r="Q113" i="65" l="1"/>
  <c r="S5" i="65"/>
  <c r="T5" i="65" s="1"/>
  <c r="D31" i="117"/>
  <c r="J10" i="190"/>
  <c r="D50" i="215" l="1"/>
  <c r="D51" i="215"/>
  <c r="D52" i="215"/>
  <c r="D53" i="215"/>
  <c r="D54" i="215"/>
  <c r="F54" i="215" s="1"/>
  <c r="J54" i="215" s="1"/>
  <c r="D55" i="215"/>
  <c r="F55" i="215" s="1"/>
  <c r="J55" i="215" s="1"/>
  <c r="D56" i="215"/>
  <c r="F56" i="215" s="1"/>
  <c r="J56" i="215" s="1"/>
  <c r="D57" i="215"/>
  <c r="F57" i="215" s="1"/>
  <c r="J57" i="215" s="1"/>
  <c r="D58" i="215"/>
  <c r="D59" i="215"/>
  <c r="F59" i="215" s="1"/>
  <c r="J59" i="215" s="1"/>
  <c r="D60" i="215"/>
  <c r="D61" i="215"/>
  <c r="D62" i="215"/>
  <c r="D63" i="215"/>
  <c r="D64" i="215"/>
  <c r="D65" i="215"/>
  <c r="D66" i="215"/>
  <c r="D67" i="215"/>
  <c r="D68" i="215"/>
  <c r="J60" i="215"/>
  <c r="J64" i="215"/>
  <c r="J68" i="215"/>
  <c r="J69" i="215"/>
  <c r="J70" i="215"/>
  <c r="F50" i="215"/>
  <c r="J50" i="215" s="1"/>
  <c r="F51" i="215"/>
  <c r="J51" i="215" s="1"/>
  <c r="F52" i="215"/>
  <c r="J52" i="215" s="1"/>
  <c r="F53" i="215"/>
  <c r="J53" i="215" s="1"/>
  <c r="F58" i="215"/>
  <c r="J58" i="215" s="1"/>
  <c r="F60" i="215"/>
  <c r="F61" i="215"/>
  <c r="J61" i="215" s="1"/>
  <c r="F62" i="215"/>
  <c r="J62" i="215" s="1"/>
  <c r="F63" i="215"/>
  <c r="J63" i="215" s="1"/>
  <c r="F64" i="215"/>
  <c r="F65" i="215"/>
  <c r="J65" i="215" s="1"/>
  <c r="F66" i="215"/>
  <c r="J66" i="215" s="1"/>
  <c r="F67" i="215"/>
  <c r="J67" i="215" s="1"/>
  <c r="F68" i="215"/>
  <c r="F51" i="178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D11" i="40"/>
  <c r="F11" i="40" s="1"/>
  <c r="D10" i="40"/>
  <c r="F10" i="40" s="1"/>
  <c r="D9" i="40"/>
  <c r="F9" i="40" s="1"/>
  <c r="G5" i="223" l="1"/>
  <c r="H5" i="223" s="1"/>
  <c r="F9" i="210"/>
  <c r="F11" i="129"/>
  <c r="F10" i="129"/>
  <c r="F9" i="157" l="1"/>
  <c r="F8" i="157"/>
  <c r="D10" i="65" l="1"/>
  <c r="F10" i="65" s="1"/>
  <c r="S130" i="38" l="1"/>
  <c r="T130" i="38" s="1"/>
  <c r="S131" i="38"/>
  <c r="T131" i="38" s="1"/>
  <c r="S132" i="38"/>
  <c r="T132" i="38" s="1"/>
  <c r="S133" i="38"/>
  <c r="T133" i="38" s="1"/>
  <c r="S134" i="38"/>
  <c r="T134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41" i="210" s="1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8" i="38"/>
  <c r="T108" i="38" s="1"/>
  <c r="S107" i="38"/>
  <c r="T107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8" i="38"/>
  <c r="I107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F10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12" i="57"/>
  <c r="F13" i="57"/>
  <c r="F14" i="57"/>
  <c r="F15" i="57"/>
  <c r="F16" i="57"/>
  <c r="F17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I46" i="57" s="1"/>
  <c r="D48" i="57"/>
  <c r="C48" i="57"/>
  <c r="E51" i="57" s="1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J11" i="129"/>
  <c r="J10" i="129"/>
  <c r="I10" i="129"/>
  <c r="I11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3" i="54"/>
  <c r="F12" i="54"/>
  <c r="F11" i="54"/>
  <c r="F9" i="54"/>
  <c r="B9" i="54"/>
  <c r="B10" i="54" s="1"/>
  <c r="B11" i="54" s="1"/>
  <c r="AC10" i="188" l="1"/>
  <c r="I12" i="129"/>
  <c r="I9" i="212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I13" i="129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AC11" i="188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F46" i="212"/>
  <c r="G5" i="212" s="1"/>
  <c r="H5" i="212" s="1"/>
  <c r="T9" i="189"/>
  <c r="T10" i="189" s="1"/>
  <c r="T11" i="189" s="1"/>
  <c r="Q30" i="189"/>
  <c r="P33" i="18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79" i="129"/>
  <c r="F68" i="54"/>
  <c r="G5" i="54" s="1"/>
  <c r="H5" i="54" s="1"/>
  <c r="I9" i="54"/>
  <c r="I10" i="54" s="1"/>
  <c r="I11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E49" i="212" l="1"/>
  <c r="F38" i="157"/>
  <c r="E53" i="57"/>
  <c r="E73" i="54"/>
  <c r="Y83" i="188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E84" i="129"/>
  <c r="G6" i="129"/>
  <c r="H6" i="129" s="1"/>
  <c r="S102" i="38" l="1"/>
  <c r="T102" i="38" s="1"/>
  <c r="S103" i="38"/>
  <c r="T103" i="38" s="1"/>
  <c r="I102" i="38" l="1"/>
  <c r="I103" i="38"/>
  <c r="I104" i="38"/>
  <c r="I105" i="38"/>
  <c r="I106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F17" i="203"/>
  <c r="F18" i="203"/>
  <c r="F19" i="203"/>
  <c r="F20" i="203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F34" i="203"/>
  <c r="F35" i="203"/>
  <c r="F36" i="203"/>
  <c r="F37" i="203"/>
  <c r="F38" i="203"/>
  <c r="D39" i="203"/>
  <c r="C39" i="203"/>
  <c r="F42" i="203" s="1"/>
  <c r="A39" i="203"/>
  <c r="F15" i="203"/>
  <c r="F14" i="203"/>
  <c r="F13" i="203"/>
  <c r="F12" i="203"/>
  <c r="F11" i="203"/>
  <c r="F10" i="203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F39" i="203"/>
  <c r="F41" i="203" s="1"/>
  <c r="S104" i="38"/>
  <c r="T104" i="38" s="1"/>
  <c r="E46" i="217" l="1"/>
  <c r="G6" i="203"/>
  <c r="H6" i="203" s="1"/>
  <c r="C110" i="65" l="1"/>
  <c r="D112" i="65" s="1"/>
  <c r="D109" i="65"/>
  <c r="F109" i="65" s="1"/>
  <c r="D108" i="65"/>
  <c r="F108" i="65" s="1"/>
  <c r="K108" i="65" s="1"/>
  <c r="F107" i="65"/>
  <c r="K107" i="65" s="1"/>
  <c r="D107" i="65"/>
  <c r="D106" i="65"/>
  <c r="F106" i="65" s="1"/>
  <c r="K106" i="65" s="1"/>
  <c r="K105" i="65"/>
  <c r="D105" i="65"/>
  <c r="F105" i="65" s="1"/>
  <c r="D104" i="65"/>
  <c r="F104" i="65" s="1"/>
  <c r="K104" i="65" s="1"/>
  <c r="D103" i="65"/>
  <c r="F103" i="65" s="1"/>
  <c r="K103" i="65" s="1"/>
  <c r="D102" i="65"/>
  <c r="F102" i="65" s="1"/>
  <c r="K102" i="65" s="1"/>
  <c r="K101" i="65"/>
  <c r="D101" i="65"/>
  <c r="F101" i="65" s="1"/>
  <c r="D100" i="65"/>
  <c r="F100" i="65" s="1"/>
  <c r="K100" i="65" s="1"/>
  <c r="F99" i="65"/>
  <c r="K99" i="65" s="1"/>
  <c r="D99" i="65"/>
  <c r="D98" i="65"/>
  <c r="F98" i="65" s="1"/>
  <c r="K98" i="65" s="1"/>
  <c r="K97" i="65"/>
  <c r="D97" i="65"/>
  <c r="F97" i="65" s="1"/>
  <c r="D96" i="65"/>
  <c r="F96" i="65" s="1"/>
  <c r="K96" i="65" s="1"/>
  <c r="D95" i="65"/>
  <c r="F95" i="65" s="1"/>
  <c r="K95" i="65" s="1"/>
  <c r="D94" i="65"/>
  <c r="F94" i="65" s="1"/>
  <c r="K94" i="65" s="1"/>
  <c r="D93" i="65"/>
  <c r="F93" i="65" s="1"/>
  <c r="K93" i="65" s="1"/>
  <c r="D92" i="65"/>
  <c r="F92" i="65" s="1"/>
  <c r="K92" i="65" s="1"/>
  <c r="F91" i="65"/>
  <c r="K91" i="65" s="1"/>
  <c r="D91" i="65"/>
  <c r="D90" i="65"/>
  <c r="F90" i="65" s="1"/>
  <c r="K90" i="65" s="1"/>
  <c r="K89" i="65"/>
  <c r="D89" i="65"/>
  <c r="F89" i="65" s="1"/>
  <c r="D88" i="65"/>
  <c r="F88" i="65" s="1"/>
  <c r="K88" i="65" s="1"/>
  <c r="D87" i="65"/>
  <c r="F87" i="65" s="1"/>
  <c r="K87" i="65" s="1"/>
  <c r="D86" i="65"/>
  <c r="F86" i="65" s="1"/>
  <c r="K86" i="65" s="1"/>
  <c r="D85" i="65"/>
  <c r="F85" i="65" s="1"/>
  <c r="K85" i="65" s="1"/>
  <c r="D84" i="65"/>
  <c r="F84" i="65" s="1"/>
  <c r="K84" i="65" s="1"/>
  <c r="F83" i="65"/>
  <c r="K83" i="65" s="1"/>
  <c r="D83" i="65"/>
  <c r="D82" i="65"/>
  <c r="F82" i="65" s="1"/>
  <c r="K82" i="65" s="1"/>
  <c r="K81" i="65"/>
  <c r="D81" i="65"/>
  <c r="F81" i="65" s="1"/>
  <c r="D80" i="65"/>
  <c r="F80" i="65" s="1"/>
  <c r="K80" i="65" s="1"/>
  <c r="F79" i="65"/>
  <c r="K79" i="65" s="1"/>
  <c r="D79" i="65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F59" i="65"/>
  <c r="K59" i="65" s="1"/>
  <c r="D59" i="65"/>
  <c r="D58" i="65"/>
  <c r="F58" i="65" s="1"/>
  <c r="K58" i="65" s="1"/>
  <c r="D57" i="65"/>
  <c r="F57" i="65" s="1"/>
  <c r="K57" i="65" s="1"/>
  <c r="K56" i="65"/>
  <c r="D56" i="65"/>
  <c r="F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F51" i="65"/>
  <c r="K51" i="65" s="1"/>
  <c r="D51" i="65"/>
  <c r="D50" i="65"/>
  <c r="F50" i="65" s="1"/>
  <c r="K50" i="65" s="1"/>
  <c r="D49" i="65"/>
  <c r="F49" i="65" s="1"/>
  <c r="K49" i="65" s="1"/>
  <c r="K48" i="65"/>
  <c r="D48" i="65"/>
  <c r="F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K32" i="65"/>
  <c r="D32" i="65"/>
  <c r="F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D110" i="65" l="1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K1" i="188"/>
  <c r="F29" i="139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F1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K10" i="65"/>
  <c r="F13" i="197"/>
  <c r="F14" i="197"/>
  <c r="F15" i="197"/>
  <c r="F16" i="197"/>
  <c r="F17" i="197"/>
  <c r="F18" i="197"/>
  <c r="F19" i="197"/>
  <c r="E113" i="65" l="1"/>
  <c r="G5" i="65"/>
  <c r="H5" i="65" s="1"/>
  <c r="I130" i="38" l="1"/>
  <c r="I131" i="38"/>
  <c r="I132" i="38"/>
  <c r="I133" i="38"/>
  <c r="I134" i="38"/>
  <c r="I135" i="38"/>
  <c r="F11" i="197" l="1"/>
  <c r="F10" i="197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K99" i="40"/>
  <c r="D99" i="40"/>
  <c r="F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F61" i="40"/>
  <c r="K61" i="40" s="1"/>
  <c r="D61" i="40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F45" i="40"/>
  <c r="K45" i="40" s="1"/>
  <c r="D45" i="40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115" i="40" l="1"/>
  <c r="F115" i="40" l="1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S14" i="38" l="1"/>
  <c r="I127" i="38" l="1"/>
  <c r="I128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Q6" i="188" s="1"/>
  <c r="R6" i="188" s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 l="1"/>
  <c r="S111" i="38"/>
  <c r="T111" i="38" s="1"/>
  <c r="S112" i="38"/>
  <c r="T112" i="38" s="1"/>
  <c r="S113" i="38"/>
  <c r="T113" i="38" s="1"/>
  <c r="S117" i="38"/>
  <c r="T117" i="38" s="1"/>
  <c r="S118" i="38"/>
  <c r="T118" i="38" s="1"/>
  <c r="S124" i="38"/>
  <c r="T124" i="38" s="1"/>
  <c r="S128" i="38"/>
  <c r="T128" i="38" s="1"/>
  <c r="S129" i="38"/>
  <c r="T129" i="38" s="1"/>
  <c r="S135" i="38"/>
  <c r="T135" i="38" s="1"/>
  <c r="S136" i="38"/>
  <c r="T136" i="38" s="1"/>
  <c r="S137" i="38"/>
  <c r="T137" i="38" s="1"/>
  <c r="S138" i="38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S144" i="38"/>
  <c r="T144" i="38" s="1"/>
  <c r="S145" i="38"/>
  <c r="T145" i="38" s="1"/>
  <c r="S146" i="38"/>
  <c r="T146" i="38" s="1"/>
  <c r="S147" i="38"/>
  <c r="T147" i="38"/>
  <c r="S148" i="38"/>
  <c r="T148" i="38" s="1"/>
  <c r="S149" i="38"/>
  <c r="T149" i="38" s="1"/>
  <c r="I123" i="38"/>
  <c r="I117" i="38"/>
  <c r="I113" i="38"/>
  <c r="I112" i="38"/>
  <c r="I111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S8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P32" i="180"/>
  <c r="Q5" i="180" s="1"/>
  <c r="R5" i="180" s="1"/>
  <c r="S9" i="180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5" i="38" l="1"/>
  <c r="T105" i="38" s="1"/>
  <c r="S106" i="38"/>
  <c r="T106" i="38" s="1"/>
  <c r="I120" i="38" l="1"/>
  <c r="I118" i="38"/>
  <c r="D78" i="188" l="1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78" i="188"/>
  <c r="G6" i="188" s="1"/>
  <c r="H6" i="188" s="1"/>
  <c r="E83" i="188" l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D16" i="189"/>
  <c r="F16" i="189" s="1"/>
  <c r="F15" i="189"/>
  <c r="F14" i="189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D30" i="128" l="1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76" i="215"/>
  <c r="F75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J9" i="215"/>
  <c r="B75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D76" i="215"/>
  <c r="F76" i="215"/>
  <c r="G5" i="215" s="1"/>
  <c r="J16" i="215"/>
  <c r="G5" i="128" l="1"/>
  <c r="H5" i="128" s="1"/>
  <c r="E40" i="159"/>
  <c r="J29" i="128"/>
  <c r="J75" i="215"/>
  <c r="F65" i="177"/>
  <c r="F78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8" i="38" l="1"/>
  <c r="I138" i="38"/>
  <c r="I137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F32" i="180"/>
  <c r="G5" i="180" s="1"/>
  <c r="H5" i="18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E33" i="22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I129" i="38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53" i="38"/>
  <c r="T153" i="38"/>
  <c r="S152" i="38"/>
  <c r="T152" i="38" s="1"/>
  <c r="S151" i="38"/>
  <c r="T151" i="38" s="1"/>
  <c r="S150" i="38"/>
  <c r="T150" i="38"/>
  <c r="I136" i="38"/>
  <c r="I139" i="38"/>
  <c r="I140" i="38"/>
  <c r="I141" i="38"/>
  <c r="I142" i="38"/>
  <c r="I143" i="38"/>
  <c r="I144" i="38"/>
  <c r="I145" i="38"/>
  <c r="I146" i="38"/>
  <c r="I147" i="38"/>
  <c r="I148" i="38"/>
  <c r="I149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53" i="38"/>
  <c r="I152" i="38"/>
  <c r="I150" i="38"/>
  <c r="I151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4" i="38"/>
  <c r="S154" i="38" l="1"/>
  <c r="T154" i="38" s="1"/>
  <c r="I154" i="38"/>
  <c r="I126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0" i="38" l="1"/>
  <c r="T110" i="38" s="1"/>
  <c r="I110" i="38"/>
  <c r="I109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9" i="38" l="1"/>
  <c r="T109" i="38" s="1"/>
  <c r="I125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9" i="38" l="1"/>
  <c r="T159" i="38" s="1"/>
  <c r="I159" i="38"/>
  <c r="S157" i="38" l="1"/>
  <c r="T157" i="38" s="1"/>
  <c r="I157" i="38"/>
  <c r="S155" i="38" l="1"/>
  <c r="T155" i="38" s="1"/>
  <c r="S156" i="38"/>
  <c r="T156" i="38" s="1"/>
  <c r="S158" i="38"/>
  <c r="T158" i="38" s="1"/>
  <c r="S160" i="38"/>
  <c r="T160" i="38" s="1"/>
  <c r="S161" i="38"/>
  <c r="T161" i="38" s="1"/>
  <c r="S162" i="38"/>
  <c r="T162" i="38" s="1"/>
  <c r="I155" i="38"/>
  <c r="I156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8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1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62" i="38" l="1"/>
  <c r="I164" i="38" l="1"/>
  <c r="I163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5" i="38" l="1"/>
  <c r="I166" i="38"/>
  <c r="I167" i="38"/>
  <c r="I168" i="38"/>
  <c r="I169" i="38"/>
  <c r="I170" i="38"/>
  <c r="I171" i="38"/>
  <c r="I172" i="38"/>
  <c r="I173" i="38"/>
  <c r="I174" i="38"/>
  <c r="I175" i="38"/>
  <c r="I5" i="1" l="1"/>
  <c r="I93" i="38" l="1"/>
  <c r="I94" i="38"/>
  <c r="I95" i="38"/>
  <c r="I176" i="38" l="1"/>
  <c r="I177" i="38"/>
  <c r="I178" i="38"/>
  <c r="I179" i="38"/>
  <c r="I180" i="38"/>
  <c r="I181" i="38"/>
  <c r="I182" i="38"/>
  <c r="I183" i="38"/>
  <c r="I184" i="38"/>
  <c r="I185" i="38"/>
  <c r="I186" i="38"/>
  <c r="I187" i="38"/>
  <c r="CT5" i="1" l="1"/>
  <c r="SC32" i="1" l="1"/>
  <c r="SC33" i="1" s="1"/>
  <c r="SA32" i="1"/>
  <c r="RS32" i="1"/>
  <c r="RS33" i="1" s="1"/>
  <c r="RQ32" i="1"/>
  <c r="SE5" i="1"/>
  <c r="RU5" i="1"/>
  <c r="I160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8" i="38"/>
  <c r="M188" i="38"/>
  <c r="K188" i="38"/>
  <c r="S187" i="38"/>
  <c r="T187" i="38" s="1"/>
  <c r="S186" i="38"/>
  <c r="T186" i="38" s="1"/>
  <c r="S185" i="38"/>
  <c r="T185" i="38" s="1"/>
  <c r="S184" i="38"/>
  <c r="T184" i="38" s="1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8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8" i="38"/>
  <c r="I188" i="38"/>
  <c r="H188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<sst xmlns="http://schemas.openxmlformats.org/spreadsheetml/2006/main" count="4441" uniqueCount="743">
  <si>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</si>
  <si>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</si>
  <si>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</si>
  <si>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</si>
  <si>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</si>
  <si>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</si>
  <si>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</si>
  <si>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</si>
  <si>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</si>
  <si>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</si>
  <si>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</si>
  <si>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</si>
  <si>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</si>
  <si>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</si>
  <si>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</si>
  <si>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</si>
  <si>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</si>
  <si>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</si>
  <si>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</si>
  <si>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</si>
  <si>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</si>
  <si>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</si>
  <si>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</si>
  <si>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</si>
  <si>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</si>
  <si>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</si>
  <si>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</si>
  <si>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</si>
  <si>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</si>
  <si>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</si>
  <si>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</si>
  <si>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</si>
  <si>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</si>
  <si>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</si>
  <si>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</si>
  <si>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</si>
  <si>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</si>
  <si>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</si>
  <si>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</si>
  <si>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</si>
  <si>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</si>
  <si>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</si>
  <si>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</si>
  <si>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</si>
  <si>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</si>
  <si>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</si>
  <si>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</si>
  <si>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</si>
  <si>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</si>
  <si>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</si>
  <si>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</si>
  <si>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</si>
  <si>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</si>
  <si>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</si>
  <si>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</si>
  <si>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</si>
  <si>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</si>
  <si>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</si>
  <si>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</si>
  <si>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</si>
  <si>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</si>
  <si>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</si>
  <si>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</si>
  <si>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</si>
  <si>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</si>
  <si>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</si>
  <si>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</si>
  <si>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</si>
  <si>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</si>
  <si>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</si>
  <si>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</si>
  <si>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</si>
  <si>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</si>
  <si>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</si>
  <si>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</si>
  <si>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</si>
  <si>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</si>
  <si>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</si>
  <si>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</si>
  <si>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</si>
  <si>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</si>
  <si>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</si>
  <si>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</si>
  <si>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</si>
  <si>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</si>
  <si>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</si>
  <si>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</si>
  <si>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</si>
  <si>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</si>
  <si>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</si>
  <si>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</si>
  <si>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</si>
  <si>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</si>
  <si>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</si>
  <si>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</si>
  <si>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</si>
  <si>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</si>
  <si>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</si>
  <si>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</si>
  <si>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</si>
  <si>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</si>
  <si>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</si>
  <si>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</si>
  <si>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</si>
  <si>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</si>
  <si>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</si>
  <si>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</si>
  <si>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</si>
  <si>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</si>
  <si>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</si>
  <si>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</si>
  <si>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</si>
  <si>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</si>
  <si>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</si>
  <si>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</si>
  <si>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</si>
  <si>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</si>
  <si>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</si>
  <si>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</si>
  <si>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</si>
  <si>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</si>
  <si>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</si>
  <si>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</si>
  <si>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</si>
  <si>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</si>
  <si>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</si>
  <si>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</si>
  <si>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</si>
  <si>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 xml:space="preserve">S U A D ER O </t>
  </si>
  <si>
    <t>0511 C1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</si>
  <si>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</si>
  <si>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</si>
  <si>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</si>
  <si>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</si>
  <si>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</si>
  <si>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</si>
  <si>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</si>
  <si>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</si>
  <si>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</si>
  <si>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</si>
  <si>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</si>
  <si>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</si>
  <si>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</si>
  <si>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</si>
  <si>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</si>
  <si>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</si>
  <si>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</si>
  <si>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</si>
  <si>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</si>
  <si>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</si>
  <si>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</si>
  <si>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</si>
  <si>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</si>
  <si>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</si>
  <si>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</si>
  <si>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 xml:space="preserve">GRANJERO FELIZ </t>
  </si>
  <si>
    <t>HUESO TUETANO REBANADO</t>
  </si>
  <si>
    <t xml:space="preserve">   M A N S I V A </t>
  </si>
  <si>
    <t>0831 C1</t>
  </si>
  <si>
    <t>0835 C1</t>
  </si>
  <si>
    <t>0843 C1</t>
  </si>
  <si>
    <t>0850 C1</t>
  </si>
  <si>
    <t>0851 C1</t>
  </si>
  <si>
    <t>0861 C1</t>
  </si>
  <si>
    <t>0869 C1</t>
  </si>
  <si>
    <t>0884 C1</t>
  </si>
  <si>
    <t>0887 C1</t>
  </si>
  <si>
    <t>0905 C1</t>
  </si>
  <si>
    <t>0911 C1</t>
  </si>
  <si>
    <t>0915 C1</t>
  </si>
  <si>
    <t>0917 C1</t>
  </si>
  <si>
    <t>0920 C1</t>
  </si>
  <si>
    <t>0921 C1</t>
  </si>
  <si>
    <t>0924 C1</t>
  </si>
  <si>
    <t>0928 C1</t>
  </si>
  <si>
    <t>0931 C1</t>
  </si>
  <si>
    <t>0982 C1</t>
  </si>
  <si>
    <t>0977 C1</t>
  </si>
  <si>
    <t>0951 C1</t>
  </si>
  <si>
    <t>0958 C1</t>
  </si>
  <si>
    <t>CABEZA</t>
  </si>
  <si>
    <t>0979 C1</t>
  </si>
  <si>
    <t>0981 C1</t>
  </si>
  <si>
    <t>0983 C1</t>
  </si>
  <si>
    <t>0986 C1</t>
  </si>
  <si>
    <t>0990 C1</t>
  </si>
  <si>
    <t>0993 C1</t>
  </si>
  <si>
    <t>0996 C1</t>
  </si>
  <si>
    <t>1000 C1</t>
  </si>
  <si>
    <t>0009 C1</t>
  </si>
  <si>
    <t>0006 C1</t>
  </si>
  <si>
    <t>0010 C1</t>
  </si>
  <si>
    <t>0017 C1</t>
  </si>
  <si>
    <t>0025 D1</t>
  </si>
  <si>
    <t>0033 D1</t>
  </si>
  <si>
    <t>0045 D1</t>
  </si>
  <si>
    <t>0046 D1</t>
  </si>
  <si>
    <t>0051 D1</t>
  </si>
  <si>
    <t>0052 D1</t>
  </si>
  <si>
    <t>0053 D1</t>
  </si>
  <si>
    <t xml:space="preserve">DE CARNERO EN CAJA </t>
  </si>
  <si>
    <t>I B P</t>
  </si>
  <si>
    <t>PED. 100014029</t>
  </si>
  <si>
    <t>SAM FARMS LLC</t>
  </si>
  <si>
    <t>0061 D1</t>
  </si>
  <si>
    <t>0065 D1</t>
  </si>
  <si>
    <t>0073 D1</t>
  </si>
  <si>
    <t>0079 D1</t>
  </si>
  <si>
    <t>0083 D1</t>
  </si>
  <si>
    <t>0091 D1</t>
  </si>
  <si>
    <t>0097 D1</t>
  </si>
  <si>
    <t>0100 D1</t>
  </si>
  <si>
    <t>0101 D1</t>
  </si>
  <si>
    <t>0102 D1</t>
  </si>
  <si>
    <t>0104 D1</t>
  </si>
  <si>
    <t>0114 D1</t>
  </si>
  <si>
    <t>0184 D1</t>
  </si>
  <si>
    <t>0214 D1</t>
  </si>
  <si>
    <t>0108 D1</t>
  </si>
  <si>
    <t>0112 D1</t>
  </si>
  <si>
    <t>0117 D1</t>
  </si>
  <si>
    <t>0207 D1</t>
  </si>
  <si>
    <t>0141 D1</t>
  </si>
  <si>
    <t>0181 D1</t>
  </si>
  <si>
    <t>0191 D1</t>
  </si>
  <si>
    <t>0132 D1</t>
  </si>
  <si>
    <t>0135 D1</t>
  </si>
  <si>
    <t>0168 D1</t>
  </si>
  <si>
    <t>0149 D1</t>
  </si>
  <si>
    <t>0143 D1</t>
  </si>
  <si>
    <t>0147 D1</t>
  </si>
  <si>
    <t>0150 D1</t>
  </si>
  <si>
    <t>0153 D1</t>
  </si>
  <si>
    <t>0154 D1</t>
  </si>
  <si>
    <t>0155 D1</t>
  </si>
  <si>
    <t>0157 D1</t>
  </si>
  <si>
    <t>0159 D1</t>
  </si>
  <si>
    <t>0163 D1</t>
  </si>
  <si>
    <t>0173 D1</t>
  </si>
  <si>
    <t>0180 D1</t>
  </si>
  <si>
    <t>0183 D1</t>
  </si>
  <si>
    <t>0189 D1</t>
  </si>
  <si>
    <t>0192 D1</t>
  </si>
  <si>
    <t>0196 D1</t>
  </si>
  <si>
    <t>0197 D1</t>
  </si>
  <si>
    <t>0199 D1</t>
  </si>
  <si>
    <t>0200 D1</t>
  </si>
  <si>
    <t>0202 D1</t>
  </si>
  <si>
    <t>0215 D1</t>
  </si>
  <si>
    <t>0217 D1</t>
  </si>
  <si>
    <t>0218 D1</t>
  </si>
  <si>
    <t>0219 D1</t>
  </si>
  <si>
    <t>0224 D1</t>
  </si>
  <si>
    <t>0225 D1</t>
  </si>
  <si>
    <t>0228 D1</t>
  </si>
  <si>
    <t>0230 D1</t>
  </si>
  <si>
    <t>0231 D1</t>
  </si>
  <si>
    <t>0237 D1</t>
  </si>
  <si>
    <t>0238 D1</t>
  </si>
  <si>
    <t>0239 D1</t>
  </si>
  <si>
    <t>0241 D1</t>
  </si>
  <si>
    <t>0242 D1</t>
  </si>
  <si>
    <t>0245 D1</t>
  </si>
  <si>
    <t>0248 D1</t>
  </si>
  <si>
    <t>0250 D1</t>
  </si>
  <si>
    <t>0251 D1</t>
  </si>
  <si>
    <t>0252 D1</t>
  </si>
  <si>
    <t>PERNIL CON GRASA</t>
  </si>
  <si>
    <t>0255 D1</t>
  </si>
  <si>
    <t>0256 D1</t>
  </si>
  <si>
    <t>0257 D1</t>
  </si>
  <si>
    <t>0260 D1</t>
  </si>
  <si>
    <t>0261 D1</t>
  </si>
  <si>
    <t>0262 D1</t>
  </si>
  <si>
    <t>0263 D1</t>
  </si>
  <si>
    <t>0264 D1</t>
  </si>
  <si>
    <t>0265 D1</t>
  </si>
  <si>
    <t>0268 D1</t>
  </si>
  <si>
    <t>0269 D1</t>
  </si>
  <si>
    <t>0270 D1</t>
  </si>
  <si>
    <t>0272 D1</t>
  </si>
  <si>
    <t>0274 D1</t>
  </si>
  <si>
    <t>0275 D1</t>
  </si>
  <si>
    <t>0276 D1</t>
  </si>
  <si>
    <t>0278 D1</t>
  </si>
  <si>
    <t>0279 D1</t>
  </si>
  <si>
    <t>0280 D1</t>
  </si>
  <si>
    <t>0283 D1</t>
  </si>
  <si>
    <t>0289 D1</t>
  </si>
  <si>
    <t>0294 D1</t>
  </si>
  <si>
    <t>0296 D1</t>
  </si>
  <si>
    <t>0300 D1</t>
  </si>
  <si>
    <t>0301 D1</t>
  </si>
  <si>
    <t>0302 D1</t>
  </si>
  <si>
    <t>0303 D1</t>
  </si>
  <si>
    <t>0304 D1</t>
  </si>
  <si>
    <t>0306 D1</t>
  </si>
  <si>
    <t>0309 D1</t>
  </si>
  <si>
    <t>0310 D1</t>
  </si>
  <si>
    <t>0311 D1</t>
  </si>
  <si>
    <t>0312 D1</t>
  </si>
  <si>
    <t>0313 D1</t>
  </si>
  <si>
    <t>0315 D1</t>
  </si>
  <si>
    <t>0317 D1</t>
  </si>
  <si>
    <t>0319 D1</t>
  </si>
  <si>
    <t>Documento tiene 10 CAJAS</t>
  </si>
  <si>
    <t>INVENTARIO    DEL MES DE JUNIO    2023</t>
  </si>
  <si>
    <t xml:space="preserve">ENTRADA DEL MES DE  JULIO   2023 </t>
  </si>
  <si>
    <t>TOTAL DE ENTRADAS DEL MES        J U L I O          2023</t>
  </si>
  <si>
    <t>INVENTARIO    DEL MES DE   JUNIO   2023</t>
  </si>
  <si>
    <t>INVENTARIO   DEL MES DE JUNIO 2023</t>
  </si>
  <si>
    <t>INVENTARIO     DEL MES DE JUNIO 2023</t>
  </si>
  <si>
    <t>INVENTARIO    DEL MES DE  JUNIO  2023</t>
  </si>
  <si>
    <t>INVENTARIO    DEL MES DE     J U N I O      2023</t>
  </si>
  <si>
    <t>INVENTARIO   DEL MES DE    J U N I O      2023</t>
  </si>
  <si>
    <t>INVENTARIO   DEL MES DE     J U N I O      2023</t>
  </si>
  <si>
    <t>INVENTARIO    DEL MES DE JUNIO 2023</t>
  </si>
  <si>
    <t xml:space="preserve">INVENTARIO   DEL MES DE JUNIO   2023  </t>
  </si>
  <si>
    <t>INVENTARIO     DEL MES DE  JUNIO 2023</t>
  </si>
  <si>
    <t>INVENTARIO  DEL MES DE    J U N I O       2023</t>
  </si>
  <si>
    <t>INVENTARIO   DEL MES DE  JUNIO 2023</t>
  </si>
  <si>
    <t>INVENTARIO  DEL MES DE JUNIO 2023</t>
  </si>
  <si>
    <t>INVENTARIO   DEL MES DE JUNIO  2023</t>
  </si>
  <si>
    <t>INVENTARIO    DEL MES DE   J U N I O   2023</t>
  </si>
  <si>
    <t>INVENTARIO    DEL MES DE  JUNIO 2023</t>
  </si>
  <si>
    <t>INVENTARIO    DEL MES DE JUNIO  2023</t>
  </si>
  <si>
    <t>INVENTARIO     DEL MES DE     JUNIO    2023</t>
  </si>
  <si>
    <t>INVENTARIO DEL MES DE JUNIO   2023</t>
  </si>
  <si>
    <t>IDEAL TRADING FOODS</t>
  </si>
  <si>
    <t>SIOUX</t>
  </si>
  <si>
    <t>PED. 100127466</t>
  </si>
  <si>
    <t>SEABOARD FOODS</t>
  </si>
  <si>
    <t>Seaboard</t>
  </si>
  <si>
    <t>PED. 100127464</t>
  </si>
  <si>
    <t>PED. 3001407</t>
  </si>
  <si>
    <t>PED. 100127462</t>
  </si>
  <si>
    <t>ENTRADA DEL MES DE JULIO 2023</t>
  </si>
  <si>
    <t>ENTRADA DEL MES DE  JULIO  2023</t>
  </si>
  <si>
    <t>PED. 100224720</t>
  </si>
  <si>
    <t>PED. 100223551</t>
  </si>
  <si>
    <t>PED. 100343380</t>
  </si>
  <si>
    <t>PED. 100413516</t>
  </si>
  <si>
    <t>PED. 100426103</t>
  </si>
  <si>
    <t>PED. 100425314</t>
  </si>
  <si>
    <t>PED. 100476612</t>
  </si>
  <si>
    <t>ENTRADA DEL MES DE JULIO   2023</t>
  </si>
  <si>
    <t>ENTRADA DEL MES DE  JULIO 2023</t>
  </si>
  <si>
    <t xml:space="preserve"> ENTRADA DEL MES DE JULIO   2023</t>
  </si>
  <si>
    <t>PED. 100536486</t>
  </si>
  <si>
    <t>PED. 100575939</t>
  </si>
  <si>
    <t>PED. 100654709</t>
  </si>
  <si>
    <t xml:space="preserve">ALIMENTOS CERTIFICADOS PUE                I N N O V A </t>
  </si>
  <si>
    <t xml:space="preserve">I N N O  V A </t>
  </si>
  <si>
    <t>PIERNA S/H DE CERDO  VAC</t>
  </si>
  <si>
    <t xml:space="preserve">FILETE TILAPIA </t>
  </si>
  <si>
    <t>PUE-3009</t>
  </si>
  <si>
    <t>NLP-208</t>
  </si>
  <si>
    <t>NLSE23-114</t>
  </si>
  <si>
    <t>NLSE23-115</t>
  </si>
  <si>
    <t>NLSE23-116</t>
  </si>
  <si>
    <t>COSTILLAR S/F</t>
  </si>
  <si>
    <t>CHAMBARETE P</t>
  </si>
  <si>
    <t>H-0916016796</t>
  </si>
  <si>
    <t>NLSE23-113</t>
  </si>
  <si>
    <t>NLSE23-117</t>
  </si>
  <si>
    <t>NLSE23-118</t>
  </si>
  <si>
    <t>NLSE23-120</t>
  </si>
  <si>
    <t>NLP-209</t>
  </si>
  <si>
    <t>ACCSE23-01</t>
  </si>
  <si>
    <t>EL GRANJERO FELIZ</t>
  </si>
  <si>
    <t xml:space="preserve">ARRACHERA TEXANA </t>
  </si>
  <si>
    <t xml:space="preserve">ARRACHERA TAQUERA </t>
  </si>
  <si>
    <t>NLSE23-121</t>
  </si>
  <si>
    <t xml:space="preserve">BBR PRODUCTOS DEL MAR </t>
  </si>
  <si>
    <t>PUE-3203</t>
  </si>
  <si>
    <t>A07-56056</t>
  </si>
  <si>
    <t>CARNES SELECTAS EL CIEN</t>
  </si>
  <si>
    <t>RES</t>
  </si>
  <si>
    <t>A-72864-------------A-72733</t>
  </si>
  <si>
    <t>NLSE23-122</t>
  </si>
  <si>
    <t>CONTRA EXCEL</t>
  </si>
  <si>
    <t>NLSE23-123</t>
  </si>
  <si>
    <t>NLSE23-99</t>
  </si>
  <si>
    <t>ALIMENTOS CERTIFICADOS DE PUEBLA    I N N O V A</t>
  </si>
  <si>
    <t>PUNTA DE CAÑA DE LOMO</t>
  </si>
  <si>
    <t>PERNIL S/H DE CERDO VAC</t>
  </si>
  <si>
    <t>Transfer S 27-Jun-23</t>
  </si>
  <si>
    <t>Transfer S 28-Jun-23</t>
  </si>
  <si>
    <t>Transfer S 29-Jun-23</t>
  </si>
  <si>
    <t>Transfer S 30-Jun-23</t>
  </si>
  <si>
    <t>IDEAL TRADNG FOODS</t>
  </si>
  <si>
    <t>PIERNA</t>
  </si>
  <si>
    <t>CHULETA</t>
  </si>
  <si>
    <t>PED. 100730451</t>
  </si>
  <si>
    <t>ACCSE23-02</t>
  </si>
  <si>
    <t>PED. 100731540</t>
  </si>
  <si>
    <t>PED. 100792697</t>
  </si>
  <si>
    <t>PED. 10845482</t>
  </si>
  <si>
    <t>PED. 100892507</t>
  </si>
  <si>
    <t>CANAL EN COMBO</t>
  </si>
  <si>
    <t>N LSE23-100</t>
  </si>
  <si>
    <t>CAMARON  41/50</t>
  </si>
  <si>
    <t>CAMARON   100/200</t>
  </si>
  <si>
    <t>PUE-3315</t>
  </si>
  <si>
    <t>NLSE23-124</t>
  </si>
  <si>
    <t>NLSE23-125</t>
  </si>
  <si>
    <t>NLSE23-127</t>
  </si>
  <si>
    <t>Transfer S 3-Jul-23</t>
  </si>
  <si>
    <t>Transfer S 4-Jul-23</t>
  </si>
  <si>
    <t>Transfer S 6-Jul-23</t>
  </si>
  <si>
    <t>Transfer S 5-Jul-23</t>
  </si>
  <si>
    <t>Transfer S 7-Jul-23</t>
  </si>
  <si>
    <t>Transfer S 10-Jul-23</t>
  </si>
  <si>
    <t>Transfer S 11-Jul-23</t>
  </si>
  <si>
    <t>Transfer S 12-Jul-23</t>
  </si>
  <si>
    <t>Transfer S 13-Jul-23</t>
  </si>
  <si>
    <t>Transfer S 14-Jul-23</t>
  </si>
  <si>
    <t>Transfer S 17-Jul-23-------</t>
  </si>
  <si>
    <t>A-73189------------B-71118</t>
  </si>
  <si>
    <t>Transfer S 19-Jul-23</t>
  </si>
  <si>
    <t>Transfer S 21-Jul-23</t>
  </si>
  <si>
    <t>Transfer B 3-Jul-23</t>
  </si>
  <si>
    <t>Transfer B 4-Jul-23</t>
  </si>
  <si>
    <t>Transfer B 5-Jul-23</t>
  </si>
  <si>
    <t>Transfer B 6-Jul-23</t>
  </si>
  <si>
    <t>Transfer B 7-Jul-23----Transfer S 11-Jul-23-------</t>
  </si>
  <si>
    <t>Transfer B 7-Jul-23</t>
  </si>
  <si>
    <t>Transfer B 10-Jul-23</t>
  </si>
  <si>
    <t>Transfer B 11-Jul-23</t>
  </si>
  <si>
    <t>Transfer B 12-Jul-23</t>
  </si>
  <si>
    <t>Transfer B 13-Jul-23</t>
  </si>
  <si>
    <t>Transfer B 17-Jul-23</t>
  </si>
  <si>
    <t>Transfer B 18-Jul-23</t>
  </si>
  <si>
    <t>Transfer B 19-Jul-23</t>
  </si>
  <si>
    <r>
      <t>A12-77026-----</t>
    </r>
    <r>
      <rPr>
        <b/>
        <sz val="16"/>
        <color rgb="FF3333FF"/>
        <rFont val="Times New Roman"/>
        <family val="1"/>
        <scheme val="minor"/>
      </rPr>
      <t>-</t>
    </r>
    <r>
      <rPr>
        <b/>
        <sz val="16"/>
        <color rgb="FFFF0000"/>
        <rFont val="Times New Roman"/>
        <family val="1"/>
        <scheme val="minor"/>
      </rPr>
      <t xml:space="preserve">-n/c </t>
    </r>
    <r>
      <rPr>
        <b/>
        <sz val="12"/>
        <color rgb="FFFF0000"/>
        <rFont val="Times New Roman"/>
        <family val="1"/>
        <scheme val="minor"/>
      </rPr>
      <t xml:space="preserve"> Z12-1118</t>
    </r>
  </si>
  <si>
    <t>30-Jun-23---05-Jul-23</t>
  </si>
  <si>
    <t>A-72392---------A-72555</t>
  </si>
  <si>
    <r>
      <rPr>
        <b/>
        <sz val="10"/>
        <color theme="5" tint="-0.249977111117893"/>
        <rFont val="Times New Roman"/>
        <family val="1"/>
        <scheme val="minor"/>
      </rPr>
      <t>Transfer B 30-Jun-23</t>
    </r>
    <r>
      <rPr>
        <b/>
        <sz val="10"/>
        <color rgb="FF3333FF"/>
        <rFont val="Times New Roman"/>
        <family val="1"/>
        <scheme val="minor"/>
      </rPr>
      <t>----Transfer S 4-Jul-23</t>
    </r>
  </si>
  <si>
    <t xml:space="preserve">ADAMS INT MORELIA </t>
  </si>
  <si>
    <t>ENTRADA  DEL MES  DE  JULIO 2023</t>
  </si>
  <si>
    <t>PED. 101044869</t>
  </si>
  <si>
    <t>PED. 101044870</t>
  </si>
  <si>
    <t>PRESTAGE</t>
  </si>
  <si>
    <t>ENTRADAS DE JULIO 2023</t>
  </si>
  <si>
    <t>ENTRADA DEL MES DE  JULIO   2023</t>
  </si>
  <si>
    <t>PED. 101182180</t>
  </si>
  <si>
    <t>PED. 101220112</t>
  </si>
  <si>
    <t xml:space="preserve">I B P </t>
  </si>
  <si>
    <t>PED. 101226747</t>
  </si>
  <si>
    <t xml:space="preserve">ADAMS INTERNATIONAL MORELIA SA DE CV </t>
  </si>
  <si>
    <t>COMBO DE CUERO</t>
  </si>
  <si>
    <t>PU-118136</t>
  </si>
  <si>
    <t>MENUDO EXCEL</t>
  </si>
  <si>
    <t>PAPA CRINKLE</t>
  </si>
  <si>
    <t>ACCSE23-03</t>
  </si>
  <si>
    <t>NLSE23-109</t>
  </si>
  <si>
    <t>NLP-211</t>
  </si>
  <si>
    <t>NLP-210</t>
  </si>
  <si>
    <t>PUE-3400</t>
  </si>
  <si>
    <t>ARRACHERA IN-SIDE</t>
  </si>
  <si>
    <t xml:space="preserve">SUADERO M </t>
  </si>
  <si>
    <t>SUADERO  M</t>
  </si>
  <si>
    <t>H-0916017009</t>
  </si>
  <si>
    <t>NLSE23-129</t>
  </si>
  <si>
    <t>PU-118352</t>
  </si>
  <si>
    <t>NLSE23-130</t>
  </si>
  <si>
    <t>SF-11529</t>
  </si>
  <si>
    <t>ALFONSO ESPINDOLA SALDAÑA</t>
  </si>
  <si>
    <t>Transfer S 31-Jul-23</t>
  </si>
  <si>
    <t>ODELPA</t>
  </si>
  <si>
    <t>B-71295---------A-73658</t>
  </si>
  <si>
    <t>21-Julio-23----27-Julio-23</t>
  </si>
  <si>
    <t>Transfer S 18-Jul-23</t>
  </si>
  <si>
    <t>Transfer S 20-Jul-23</t>
  </si>
  <si>
    <t>HC-13945</t>
  </si>
  <si>
    <t>Transfer S 24-Jul-23</t>
  </si>
  <si>
    <t>Transfer s 24-Jul-23</t>
  </si>
  <si>
    <t>Transfer S 21-Jul-23----Transfer S 25-Jul-23</t>
  </si>
  <si>
    <t>Transfer S 25-Jul-23</t>
  </si>
  <si>
    <t>Transfer S 26-Jul-23</t>
  </si>
  <si>
    <t>Transafer S 28-Jul-23</t>
  </si>
  <si>
    <t>Transfer S 28-Jul-23</t>
  </si>
  <si>
    <t>HC-14040</t>
  </si>
  <si>
    <t>Transfer B 20-Jul-23</t>
  </si>
  <si>
    <t>Transfer B 24-Jul-23</t>
  </si>
  <si>
    <t>Transfer B 25-Jul-23</t>
  </si>
  <si>
    <t>Transfer B 26-Jul-23</t>
  </si>
  <si>
    <t>Transfer B 27-Jul-23</t>
  </si>
  <si>
    <t>Transfer S 17-Jul-23-------Transfer S 18-Jul-23</t>
  </si>
  <si>
    <t>HUESO BLANCO</t>
  </si>
  <si>
    <t>F-202301605</t>
  </si>
  <si>
    <t>0320 D1</t>
  </si>
  <si>
    <t>0321 D1</t>
  </si>
  <si>
    <t>0322 D1</t>
  </si>
  <si>
    <t>0323 D1</t>
  </si>
  <si>
    <t>0324 D1</t>
  </si>
  <si>
    <t>0325 D1</t>
  </si>
  <si>
    <t>0326 D1</t>
  </si>
  <si>
    <t>0328 D1</t>
  </si>
  <si>
    <t>0329 D1</t>
  </si>
  <si>
    <t>0330 D1</t>
  </si>
  <si>
    <t>0331 D1</t>
  </si>
  <si>
    <t>0332 D1</t>
  </si>
  <si>
    <t>0333 D1</t>
  </si>
  <si>
    <t>0334 D1</t>
  </si>
  <si>
    <t>0335 d1</t>
  </si>
  <si>
    <t>0336 D1</t>
  </si>
  <si>
    <t>0337 D1</t>
  </si>
  <si>
    <t>0338 D1</t>
  </si>
  <si>
    <t>0339 D1</t>
  </si>
  <si>
    <t>0340 D1</t>
  </si>
  <si>
    <t>0341 D1</t>
  </si>
  <si>
    <t>0342 D1</t>
  </si>
  <si>
    <t>0343 D1</t>
  </si>
  <si>
    <t>0344 D1</t>
  </si>
  <si>
    <t>0345 D1</t>
  </si>
  <si>
    <t>0346 D1</t>
  </si>
  <si>
    <t>0347 D1</t>
  </si>
  <si>
    <t>0348 D1</t>
  </si>
  <si>
    <t>0349 D1</t>
  </si>
  <si>
    <t>0350 D1</t>
  </si>
  <si>
    <t>0351 D1</t>
  </si>
  <si>
    <t>0352 D1</t>
  </si>
  <si>
    <t>0353 D1</t>
  </si>
  <si>
    <t>0354 D1</t>
  </si>
  <si>
    <t>0356 D1</t>
  </si>
  <si>
    <t>0357 D1</t>
  </si>
  <si>
    <t>0358 D1</t>
  </si>
  <si>
    <t>0359 D1</t>
  </si>
  <si>
    <t>0360 D1</t>
  </si>
  <si>
    <t>0361 D1</t>
  </si>
  <si>
    <t>0362 D1</t>
  </si>
  <si>
    <t>0363 D1</t>
  </si>
  <si>
    <t>0373 D1</t>
  </si>
  <si>
    <t>0364 D1</t>
  </si>
  <si>
    <t>0365 D1</t>
  </si>
  <si>
    <t>0366 D1</t>
  </si>
  <si>
    <t>0367 D1</t>
  </si>
  <si>
    <t>0368 D1</t>
  </si>
  <si>
    <t>0370 D1</t>
  </si>
  <si>
    <t>0371 D1</t>
  </si>
  <si>
    <t>0372 D1</t>
  </si>
  <si>
    <t>0374 D1</t>
  </si>
  <si>
    <t>0375 D1</t>
  </si>
  <si>
    <t>0376 D1</t>
  </si>
  <si>
    <t>0377 D1</t>
  </si>
  <si>
    <t>0378 D1</t>
  </si>
  <si>
    <t>0379 D1</t>
  </si>
  <si>
    <t>0380 D1</t>
  </si>
  <si>
    <t>0381 D1</t>
  </si>
  <si>
    <t>0382 D1</t>
  </si>
  <si>
    <t>0383 D1</t>
  </si>
  <si>
    <t>0384 D1</t>
  </si>
  <si>
    <t>0385 D1</t>
  </si>
  <si>
    <t>0386 D1</t>
  </si>
  <si>
    <t>0387 D1</t>
  </si>
  <si>
    <t>0388 D1</t>
  </si>
  <si>
    <t>0389 D1</t>
  </si>
  <si>
    <t>0390 D1</t>
  </si>
  <si>
    <t>0391 D1</t>
  </si>
  <si>
    <t>0392 D1</t>
  </si>
  <si>
    <t>0393 D1</t>
  </si>
  <si>
    <t>0394 D1</t>
  </si>
  <si>
    <t>0395 D1</t>
  </si>
  <si>
    <t>0397 D1</t>
  </si>
  <si>
    <t>0398 D1</t>
  </si>
  <si>
    <t>0400 D1</t>
  </si>
  <si>
    <t>0405 D1</t>
  </si>
  <si>
    <t xml:space="preserve">CANAL EN COMBO </t>
  </si>
  <si>
    <t>0406 D1</t>
  </si>
  <si>
    <t>0407 D1</t>
  </si>
  <si>
    <t>0408 D1</t>
  </si>
  <si>
    <t>0409 D1</t>
  </si>
  <si>
    <t>0410 D1</t>
  </si>
  <si>
    <t>0411 D1</t>
  </si>
  <si>
    <t>0413 D1</t>
  </si>
  <si>
    <t>0414 D1</t>
  </si>
  <si>
    <t>0415 D1</t>
  </si>
  <si>
    <t>0416 D1</t>
  </si>
  <si>
    <t>0417 D1</t>
  </si>
  <si>
    <t>0418 D1</t>
  </si>
  <si>
    <t>0419 D1</t>
  </si>
  <si>
    <t>0420 D1</t>
  </si>
  <si>
    <t>0421 D1</t>
  </si>
  <si>
    <t>0431 D1</t>
  </si>
  <si>
    <t>0423 D1</t>
  </si>
  <si>
    <t>0424 D1</t>
  </si>
  <si>
    <t>0425 D1</t>
  </si>
  <si>
    <t>0427 D1</t>
  </si>
  <si>
    <t>0428 D1</t>
  </si>
  <si>
    <t>0429 D1</t>
  </si>
  <si>
    <t>0439 D1</t>
  </si>
  <si>
    <t>0430 D1</t>
  </si>
  <si>
    <t>0440 D1</t>
  </si>
  <si>
    <t>0432 D1</t>
  </si>
  <si>
    <t>0433 D1</t>
  </si>
  <si>
    <t>0435 D1</t>
  </si>
  <si>
    <t>0436 D1</t>
  </si>
  <si>
    <t>0437 D1</t>
  </si>
  <si>
    <t>0438 D1</t>
  </si>
  <si>
    <t>0442 D1</t>
  </si>
  <si>
    <t>0443 D1</t>
  </si>
  <si>
    <t>0444 D1</t>
  </si>
  <si>
    <t>0445 D1</t>
  </si>
  <si>
    <t>0446 D1</t>
  </si>
  <si>
    <t>0447 D1</t>
  </si>
  <si>
    <t>0448 D1</t>
  </si>
  <si>
    <t>0449 D1</t>
  </si>
  <si>
    <t>0450 D1</t>
  </si>
  <si>
    <t>0451 D1</t>
  </si>
  <si>
    <t>0452 D1</t>
  </si>
  <si>
    <t>0453 D1</t>
  </si>
  <si>
    <t>0454 D1</t>
  </si>
  <si>
    <t>0455 D1</t>
  </si>
  <si>
    <t>0456 D1</t>
  </si>
  <si>
    <t>0457 D1</t>
  </si>
  <si>
    <t>0458 D1</t>
  </si>
  <si>
    <t>0459 D1</t>
  </si>
  <si>
    <t>0460 D1</t>
  </si>
  <si>
    <t>0463 D1</t>
  </si>
  <si>
    <t>0464 D1</t>
  </si>
  <si>
    <t>0465 D1</t>
  </si>
  <si>
    <t>0466 D1</t>
  </si>
  <si>
    <t>0467 D1</t>
  </si>
  <si>
    <t>0468 D1</t>
  </si>
  <si>
    <t>0469 D1</t>
  </si>
  <si>
    <t>0471 D1</t>
  </si>
  <si>
    <t>0470 D1</t>
  </si>
  <si>
    <t>0472 D1</t>
  </si>
  <si>
    <t>0473 D1</t>
  </si>
  <si>
    <t>0474 D1</t>
  </si>
  <si>
    <t>0475 D1</t>
  </si>
  <si>
    <t>0477 D1</t>
  </si>
  <si>
    <t>0478 D1</t>
  </si>
  <si>
    <t>0479 D1</t>
  </si>
  <si>
    <t>0480 D1</t>
  </si>
  <si>
    <t>0481 D1</t>
  </si>
  <si>
    <t>0482 D1</t>
  </si>
  <si>
    <t>0483 D1</t>
  </si>
  <si>
    <t>0484 D1</t>
  </si>
  <si>
    <t>0485 D1</t>
  </si>
  <si>
    <t>0486 D1</t>
  </si>
  <si>
    <t>0487 d1</t>
  </si>
  <si>
    <t>0488 D1</t>
  </si>
  <si>
    <t>0489 D1</t>
  </si>
  <si>
    <t>0490 D1</t>
  </si>
  <si>
    <t>0491 D1</t>
  </si>
  <si>
    <t>0493 D1</t>
  </si>
  <si>
    <t>0494 D1</t>
  </si>
  <si>
    <t>0496 D1</t>
  </si>
  <si>
    <t>0497 D1</t>
  </si>
  <si>
    <t>0498 D1</t>
  </si>
  <si>
    <t>0499 D1</t>
  </si>
  <si>
    <t>0500 D1</t>
  </si>
  <si>
    <t>0501 D1</t>
  </si>
  <si>
    <t>0502 D1</t>
  </si>
  <si>
    <t>0503 D1</t>
  </si>
  <si>
    <t>0505 D1</t>
  </si>
  <si>
    <t>0506 D1</t>
  </si>
  <si>
    <t>0507 D1</t>
  </si>
  <si>
    <t>0508 D1</t>
  </si>
  <si>
    <t>0509 D1</t>
  </si>
  <si>
    <t>0510 D1</t>
  </si>
  <si>
    <t>0511 D1</t>
  </si>
  <si>
    <t>0512 D1</t>
  </si>
  <si>
    <t>0513 D1</t>
  </si>
  <si>
    <t>0514 d1</t>
  </si>
  <si>
    <t>0515 d1</t>
  </si>
  <si>
    <t>0516 D1</t>
  </si>
  <si>
    <t>0517 D1</t>
  </si>
  <si>
    <t>0518 D1</t>
  </si>
  <si>
    <t>0520 D1</t>
  </si>
  <si>
    <t>0521 D1</t>
  </si>
  <si>
    <t>0522 D1</t>
  </si>
  <si>
    <t>0523 D1</t>
  </si>
  <si>
    <t>0524 D1</t>
  </si>
  <si>
    <t>0525 D1</t>
  </si>
  <si>
    <t>0526 D1</t>
  </si>
  <si>
    <t>0527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</si>
  <si>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</si>
  <si>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</si>
  <si>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</si>
  <si>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</si>
  <si>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</si>
  <si>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</si>
  <si>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</si>
  <si>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</si>
  <si>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0538 D1</t>
  </si>
  <si>
    <t>0539 D1</t>
  </si>
  <si>
    <t>0540 D1</t>
  </si>
  <si>
    <t>0541 D1</t>
  </si>
  <si>
    <t>0542 D1</t>
  </si>
  <si>
    <t>0543 D1</t>
  </si>
  <si>
    <t>0544 D1</t>
  </si>
  <si>
    <t>0545 D1</t>
  </si>
  <si>
    <t>0546 D1</t>
  </si>
  <si>
    <t>0547 D1</t>
  </si>
  <si>
    <t>0548 D1</t>
  </si>
  <si>
    <t>0550 D1</t>
  </si>
  <si>
    <t>0551 D1</t>
  </si>
  <si>
    <t>0552 D1</t>
  </si>
  <si>
    <t>0553 D1</t>
  </si>
  <si>
    <t>0554 D1</t>
  </si>
  <si>
    <t>0555 D1</t>
  </si>
  <si>
    <t>0556 D1</t>
  </si>
  <si>
    <t>0559 D1</t>
  </si>
  <si>
    <t>0557 D1</t>
  </si>
  <si>
    <t>0558 F1</t>
  </si>
  <si>
    <t>0560 D1</t>
  </si>
  <si>
    <t>0561 D1</t>
  </si>
  <si>
    <t>0562 D1</t>
  </si>
  <si>
    <t>0563 D1</t>
  </si>
  <si>
    <t>0564 D1</t>
  </si>
  <si>
    <t>0565 D1</t>
  </si>
  <si>
    <t>0568 D1</t>
  </si>
  <si>
    <t>0569 D1</t>
  </si>
  <si>
    <t>0566 D1</t>
  </si>
  <si>
    <t>0567 D1</t>
  </si>
  <si>
    <t>0570 D1</t>
  </si>
  <si>
    <t>0571 D1</t>
  </si>
  <si>
    <t>0572 D1</t>
  </si>
  <si>
    <t>0574 D1</t>
  </si>
  <si>
    <t>0575 D1</t>
  </si>
  <si>
    <t>0576 D1</t>
  </si>
  <si>
    <t>0577 D1</t>
  </si>
  <si>
    <t>0578 D1</t>
  </si>
  <si>
    <t>0579 D1</t>
  </si>
  <si>
    <t>0580 D1</t>
  </si>
  <si>
    <t>0581 D1</t>
  </si>
  <si>
    <t>0582 D1</t>
  </si>
  <si>
    <t>0583 D1</t>
  </si>
  <si>
    <t>0585 D1</t>
  </si>
  <si>
    <t>02-Ago-2023.,</t>
  </si>
  <si>
    <t>B-71614---------A-74046</t>
  </si>
  <si>
    <t>PERICO</t>
  </si>
  <si>
    <t>Transfer B 28-Jul-23-----Transfer S 1-Ago-23</t>
  </si>
  <si>
    <t>Transfer S 1-Ago-23</t>
  </si>
  <si>
    <t>HC-14043</t>
  </si>
  <si>
    <t>Transfer S 8-Ago-23</t>
  </si>
  <si>
    <t xml:space="preserve">CUSTODIA </t>
  </si>
  <si>
    <t xml:space="preserve">Transfer B 10-Jul-23   ZAVALETA </t>
  </si>
  <si>
    <t xml:space="preserve">Transfer B 18-Jul-23  ZAVALETA </t>
  </si>
  <si>
    <t xml:space="preserve">Transfer B   17-Jul-23   ZAVALETA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</si>
</sst>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FF00FF"/>
      <name val="Times New Roman"/>
      <family val="1"/>
      <scheme val="minor"/>
    </font>
    <font>
      <b/>
      <sz val="11"/>
      <color rgb="FFFF66CC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sz val="11"/>
      <color theme="5" tint="-0.249977111117893"/>
      <name val="Times New Roman"/>
      <family val="1"/>
      <scheme val="minor"/>
    </font>
    <font>
      <b/>
      <sz val="11"/>
      <color rgb="FFFF66CC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6"/>
      <color rgb="FF3333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0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249977111117893"/>
        <bgColor indexed="64"/>
      </patternFill>
    </fill>
  </fills>
  <borders count="1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79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0" fontId="7" fillId="0" borderId="2" xfId="0" applyFont="1" applyBorder="1" applyAlignment="1">
      <alignment horizontal="center"/>
    </xf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68" fontId="54" fillId="0" borderId="15" xfId="0" applyNumberFormat="1" applyFont="1" applyFill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68" fontId="54" fillId="0" borderId="51" xfId="0" applyNumberFormat="1" applyFont="1" applyFill="1" applyBorder="1"/>
    <xf numFmtId="168" fontId="54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168" fontId="27" fillId="0" borderId="4" xfId="0" applyNumberFormat="1" applyFont="1" applyBorder="1"/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79" fillId="0" borderId="0" xfId="0" applyFont="1"/>
    <xf numFmtId="164" fontId="79" fillId="0" borderId="0" xfId="0" applyNumberFormat="1" applyFont="1" applyAlignment="1">
      <alignment horizontal="right"/>
    </xf>
    <xf numFmtId="2" fontId="79" fillId="0" borderId="51" xfId="0" applyNumberFormat="1" applyFont="1" applyBorder="1"/>
    <xf numFmtId="0" fontId="27" fillId="0" borderId="0" xfId="0" applyFont="1" applyAlignment="1">
      <alignment horizontal="right"/>
    </xf>
    <xf numFmtId="164" fontId="79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67" fontId="5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0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67" fontId="40" fillId="0" borderId="98" xfId="0" applyNumberFormat="1" applyFont="1" applyFill="1" applyBorder="1" applyAlignment="1">
      <alignment horizontal="center" vertical="center"/>
    </xf>
    <xf numFmtId="44" fontId="28" fillId="0" borderId="90" xfId="1" applyFont="1" applyFill="1" applyBorder="1" applyAlignment="1"/>
    <xf numFmtId="44" fontId="40" fillId="0" borderId="90" xfId="1" applyFont="1" applyFill="1" applyBorder="1" applyAlignment="1"/>
    <xf numFmtId="0" fontId="7" fillId="21" borderId="0" xfId="0" applyFont="1" applyFill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1" fontId="81" fillId="0" borderId="87" xfId="0" applyNumberFormat="1" applyFont="1" applyFill="1" applyBorder="1" applyAlignment="1">
      <alignment horizontal="left" vertical="center" wrapText="1"/>
    </xf>
    <xf numFmtId="0" fontId="82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0" fontId="52" fillId="0" borderId="90" xfId="0" applyFont="1" applyFill="1" applyBorder="1" applyAlignment="1">
      <alignment horizontal="center"/>
    </xf>
    <xf numFmtId="0" fontId="28" fillId="0" borderId="33" xfId="0" applyFont="1" applyBorder="1" applyAlignment="1">
      <alignment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4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44" fontId="28" fillId="0" borderId="98" xfId="1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2" fontId="86" fillId="0" borderId="0" xfId="0" applyNumberFormat="1" applyFont="1" applyFill="1" applyAlignment="1">
      <alignment horizontal="right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4" fontId="87" fillId="0" borderId="5" xfId="0" applyNumberFormat="1" applyFont="1" applyFill="1" applyBorder="1" applyAlignment="1">
      <alignment horizontal="right"/>
    </xf>
    <xf numFmtId="15" fontId="87" fillId="0" borderId="0" xfId="0" applyNumberFormat="1" applyFont="1" applyFill="1"/>
    <xf numFmtId="2" fontId="87" fillId="0" borderId="0" xfId="0" applyNumberFormat="1" applyFont="1" applyFill="1" applyAlignment="1">
      <alignment horizontal="right"/>
    </xf>
    <xf numFmtId="0" fontId="87" fillId="0" borderId="10" xfId="0" applyFont="1" applyFill="1" applyBorder="1" applyAlignment="1">
      <alignment horizontal="right"/>
    </xf>
    <xf numFmtId="164" fontId="87" fillId="0" borderId="0" xfId="0" applyNumberFormat="1" applyFont="1" applyFill="1"/>
    <xf numFmtId="15" fontId="87" fillId="0" borderId="15" xfId="0" applyNumberFormat="1" applyFont="1" applyFill="1" applyBorder="1"/>
    <xf numFmtId="4" fontId="87" fillId="0" borderId="5" xfId="0" applyNumberFormat="1" applyFont="1" applyBorder="1" applyAlignment="1">
      <alignment horizontal="right"/>
    </xf>
    <xf numFmtId="15" fontId="87" fillId="0" borderId="15" xfId="0" applyNumberFormat="1" applyFont="1" applyBorder="1"/>
    <xf numFmtId="2" fontId="87" fillId="0" borderId="0" xfId="0" applyNumberFormat="1" applyFont="1" applyAlignment="1">
      <alignment horizontal="right"/>
    </xf>
    <xf numFmtId="0" fontId="87" fillId="0" borderId="10" xfId="0" applyFont="1" applyBorder="1" applyAlignment="1">
      <alignment horizontal="right"/>
    </xf>
    <xf numFmtId="164" fontId="87" fillId="0" borderId="0" xfId="0" applyNumberFormat="1" applyFont="1"/>
    <xf numFmtId="168" fontId="86" fillId="0" borderId="15" xfId="0" applyNumberFormat="1" applyFont="1" applyFill="1" applyBorder="1"/>
    <xf numFmtId="0" fontId="7" fillId="0" borderId="0" xfId="0" applyFont="1" applyAlignment="1">
      <alignment horizontal="center"/>
    </xf>
    <xf numFmtId="2" fontId="88" fillId="10" borderId="0" xfId="0" applyNumberFormat="1" applyFont="1" applyFill="1"/>
    <xf numFmtId="2" fontId="88" fillId="0" borderId="0" xfId="0" applyNumberFormat="1" applyFont="1" applyFill="1"/>
    <xf numFmtId="2" fontId="88" fillId="0" borderId="12" xfId="0" applyNumberFormat="1" applyFont="1" applyBorder="1"/>
    <xf numFmtId="164" fontId="10" fillId="4" borderId="0" xfId="0" applyNumberFormat="1" applyFont="1" applyFill="1"/>
    <xf numFmtId="2" fontId="89" fillId="0" borderId="0" xfId="0" applyNumberFormat="1" applyFont="1" applyAlignment="1">
      <alignment horizontal="right"/>
    </xf>
    <xf numFmtId="15" fontId="89" fillId="0" borderId="15" xfId="0" applyNumberFormat="1" applyFont="1" applyBorder="1"/>
    <xf numFmtId="0" fontId="89" fillId="0" borderId="10" xfId="0" applyFont="1" applyBorder="1" applyAlignment="1">
      <alignment horizontal="right"/>
    </xf>
    <xf numFmtId="164" fontId="89" fillId="0" borderId="0" xfId="0" applyNumberFormat="1" applyFont="1"/>
    <xf numFmtId="164" fontId="27" fillId="4" borderId="0" xfId="0" applyNumberFormat="1" applyFont="1" applyFill="1"/>
    <xf numFmtId="0" fontId="90" fillId="0" borderId="0" xfId="0" applyFont="1" applyFill="1" applyAlignment="1">
      <alignment horizontal="center"/>
    </xf>
    <xf numFmtId="0" fontId="90" fillId="0" borderId="0" xfId="0" applyFont="1" applyAlignment="1">
      <alignment horizontal="center"/>
    </xf>
    <xf numFmtId="2" fontId="87" fillId="0" borderId="37" xfId="0" applyNumberFormat="1" applyFont="1" applyBorder="1" applyAlignment="1">
      <alignment horizontal="right"/>
    </xf>
    <xf numFmtId="15" fontId="87" fillId="0" borderId="0" xfId="0" applyNumberFormat="1" applyFont="1"/>
    <xf numFmtId="0" fontId="28" fillId="0" borderId="33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8" fillId="0" borderId="0" xfId="0" applyFont="1" applyFill="1" applyAlignment="1">
      <alignment horizontal="center"/>
    </xf>
    <xf numFmtId="0" fontId="3" fillId="22" borderId="0" xfId="0" applyFont="1" applyFill="1" applyAlignment="1">
      <alignment horizontal="center"/>
    </xf>
    <xf numFmtId="0" fontId="3" fillId="28" borderId="0" xfId="0" applyFont="1" applyFill="1" applyAlignment="1">
      <alignment horizontal="center"/>
    </xf>
    <xf numFmtId="2" fontId="7" fillId="28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17" fillId="4" borderId="4" xfId="0" applyFont="1" applyFill="1" applyBorder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167" fontId="22" fillId="0" borderId="74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horizontal="center" vertical="center"/>
    </xf>
    <xf numFmtId="4" fontId="54" fillId="0" borderId="33" xfId="0" applyNumberFormat="1" applyFont="1" applyFill="1" applyBorder="1" applyAlignment="1">
      <alignment vertical="center"/>
    </xf>
    <xf numFmtId="4" fontId="54" fillId="0" borderId="33" xfId="0" applyNumberFormat="1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85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4" fontId="7" fillId="0" borderId="33" xfId="0" applyNumberFormat="1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 vertical="center"/>
    </xf>
    <xf numFmtId="168" fontId="44" fillId="0" borderId="15" xfId="0" applyNumberFormat="1" applyFont="1" applyFill="1" applyBorder="1"/>
    <xf numFmtId="2" fontId="89" fillId="0" borderId="0" xfId="0" applyNumberFormat="1" applyFont="1" applyFill="1" applyAlignment="1">
      <alignment horizontal="right"/>
    </xf>
    <xf numFmtId="168" fontId="89" fillId="0" borderId="15" xfId="0" applyNumberFormat="1" applyFont="1" applyFill="1" applyBorder="1"/>
    <xf numFmtId="0" fontId="89" fillId="0" borderId="10" xfId="0" applyFont="1" applyFill="1" applyBorder="1" applyAlignment="1">
      <alignment horizontal="right"/>
    </xf>
    <xf numFmtId="164" fontId="89" fillId="0" borderId="0" xfId="0" applyNumberFormat="1" applyFont="1" applyFill="1"/>
    <xf numFmtId="168" fontId="89" fillId="0" borderId="15" xfId="0" applyNumberFormat="1" applyFont="1" applyBorder="1"/>
    <xf numFmtId="2" fontId="39" fillId="10" borderId="0" xfId="0" applyNumberFormat="1" applyFont="1" applyFill="1"/>
    <xf numFmtId="0" fontId="0" fillId="10" borderId="4" xfId="0" applyFont="1" applyFill="1" applyBorder="1" applyAlignment="1">
      <alignment horizontal="center"/>
    </xf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5" fontId="89" fillId="0" borderId="0" xfId="0" applyNumberFormat="1" applyFont="1" applyFill="1"/>
    <xf numFmtId="2" fontId="89" fillId="0" borderId="0" xfId="0" applyNumberFormat="1" applyFont="1" applyFill="1"/>
    <xf numFmtId="15" fontId="89" fillId="0" borderId="0" xfId="0" applyNumberFormat="1" applyFont="1"/>
    <xf numFmtId="2" fontId="93" fillId="0" borderId="0" xfId="0" applyNumberFormat="1" applyFont="1" applyFill="1" applyAlignment="1">
      <alignment horizontal="right"/>
    </xf>
    <xf numFmtId="15" fontId="93" fillId="0" borderId="4" xfId="0" applyNumberFormat="1" applyFont="1" applyFill="1" applyBorder="1"/>
    <xf numFmtId="2" fontId="93" fillId="0" borderId="5" xfId="0" applyNumberFormat="1" applyFont="1" applyFill="1" applyBorder="1" applyAlignment="1">
      <alignment horizontal="right"/>
    </xf>
    <xf numFmtId="0" fontId="93" fillId="0" borderId="10" xfId="0" applyFont="1" applyFill="1" applyBorder="1" applyAlignment="1">
      <alignment horizontal="right"/>
    </xf>
    <xf numFmtId="164" fontId="93" fillId="0" borderId="0" xfId="0" applyNumberFormat="1" applyFont="1" applyFill="1"/>
    <xf numFmtId="168" fontId="93" fillId="0" borderId="0" xfId="0" applyNumberFormat="1" applyFont="1" applyFill="1"/>
    <xf numFmtId="2" fontId="74" fillId="0" borderId="5" xfId="0" applyNumberFormat="1" applyFont="1" applyBorder="1" applyAlignment="1">
      <alignment horizontal="right"/>
    </xf>
    <xf numFmtId="168" fontId="74" fillId="0" borderId="51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44" fillId="0" borderId="5" xfId="0" applyNumberFormat="1" applyFont="1" applyBorder="1" applyAlignment="1">
      <alignment horizontal="right"/>
    </xf>
    <xf numFmtId="168" fontId="44" fillId="0" borderId="51" xfId="0" applyNumberFormat="1" applyFont="1" applyBorder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168" fontId="44" fillId="0" borderId="0" xfId="0" applyNumberFormat="1" applyFont="1"/>
    <xf numFmtId="168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2" fontId="44" fillId="0" borderId="12" xfId="0" applyNumberFormat="1" applyFont="1" applyBorder="1" applyAlignment="1">
      <alignment horizontal="right"/>
    </xf>
    <xf numFmtId="2" fontId="44" fillId="0" borderId="32" xfId="0" applyNumberFormat="1" applyFont="1" applyBorder="1" applyAlignment="1">
      <alignment horizontal="right"/>
    </xf>
    <xf numFmtId="15" fontId="44" fillId="0" borderId="0" xfId="0" applyNumberFormat="1" applyFont="1" applyFill="1"/>
    <xf numFmtId="2" fontId="44" fillId="0" borderId="0" xfId="0" applyNumberFormat="1" applyFont="1" applyFill="1"/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92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4" fontId="54" fillId="0" borderId="51" xfId="0" applyNumberFormat="1" applyFont="1" applyFill="1" applyBorder="1"/>
    <xf numFmtId="168" fontId="54" fillId="0" borderId="4" xfId="0" applyNumberFormat="1" applyFont="1" applyBorder="1"/>
    <xf numFmtId="0" fontId="12" fillId="10" borderId="4" xfId="0" applyFont="1" applyFill="1" applyBorder="1" applyAlignment="1">
      <alignment horizontal="center"/>
    </xf>
    <xf numFmtId="168" fontId="44" fillId="0" borderId="15" xfId="0" applyNumberFormat="1" applyFont="1" applyBorder="1"/>
    <xf numFmtId="168" fontId="34" fillId="0" borderId="15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4" fontId="34" fillId="0" borderId="5" xfId="0" applyNumberFormat="1" applyFont="1" applyBorder="1" applyAlignment="1">
      <alignment horizontal="right"/>
    </xf>
    <xf numFmtId="4" fontId="34" fillId="0" borderId="5" xfId="0" applyNumberFormat="1" applyFont="1" applyFill="1" applyBorder="1" applyAlignment="1">
      <alignment horizontal="right"/>
    </xf>
    <xf numFmtId="15" fontId="34" fillId="0" borderId="4" xfId="0" applyNumberFormat="1" applyFont="1" applyBorder="1"/>
    <xf numFmtId="15" fontId="34" fillId="0" borderId="10" xfId="0" applyNumberFormat="1" applyFont="1" applyBorder="1" applyAlignment="1">
      <alignment horizontal="right"/>
    </xf>
    <xf numFmtId="0" fontId="0" fillId="0" borderId="0" xfId="0" applyFill="1" applyBorder="1"/>
    <xf numFmtId="0" fontId="91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4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2" fontId="44" fillId="0" borderId="51" xfId="0" applyNumberFormat="1" applyFont="1" applyBorder="1" applyAlignment="1">
      <alignment horizontal="right"/>
    </xf>
    <xf numFmtId="164" fontId="44" fillId="0" borderId="0" xfId="0" applyNumberFormat="1" applyFont="1" applyAlignment="1">
      <alignment horizontal="right"/>
    </xf>
    <xf numFmtId="0" fontId="95" fillId="0" borderId="0" xfId="0" applyFont="1"/>
    <xf numFmtId="164" fontId="95" fillId="0" borderId="0" xfId="0" applyNumberFormat="1" applyFont="1" applyAlignment="1">
      <alignment horizontal="right"/>
    </xf>
    <xf numFmtId="15" fontId="44" fillId="0" borderId="4" xfId="0" applyNumberFormat="1" applyFont="1" applyBorder="1"/>
    <xf numFmtId="164" fontId="44" fillId="0" borderId="0" xfId="0" applyNumberFormat="1" applyFont="1" applyAlignment="1">
      <alignment horizontal="center"/>
    </xf>
    <xf numFmtId="15" fontId="44" fillId="0" borderId="0" xfId="0" applyNumberFormat="1" applyFont="1"/>
    <xf numFmtId="15" fontId="44" fillId="0" borderId="15" xfId="0" applyNumberFormat="1" applyFont="1" applyBorder="1"/>
    <xf numFmtId="2" fontId="96" fillId="0" borderId="0" xfId="0" applyNumberFormat="1" applyFont="1" applyFill="1" applyAlignment="1">
      <alignment horizontal="right"/>
    </xf>
    <xf numFmtId="168" fontId="96" fillId="0" borderId="15" xfId="0" applyNumberFormat="1" applyFont="1" applyFill="1" applyBorder="1"/>
    <xf numFmtId="0" fontId="96" fillId="0" borderId="10" xfId="0" applyFont="1" applyFill="1" applyBorder="1" applyAlignment="1">
      <alignment horizontal="right"/>
    </xf>
    <xf numFmtId="164" fontId="96" fillId="0" borderId="0" xfId="0" applyNumberFormat="1" applyFont="1" applyFill="1"/>
    <xf numFmtId="2" fontId="96" fillId="0" borderId="0" xfId="0" applyNumberFormat="1" applyFont="1" applyAlignment="1">
      <alignment horizontal="right"/>
    </xf>
    <xf numFmtId="168" fontId="96" fillId="0" borderId="15" xfId="0" applyNumberFormat="1" applyFont="1" applyBorder="1"/>
    <xf numFmtId="0" fontId="96" fillId="0" borderId="10" xfId="0" applyFont="1" applyBorder="1" applyAlignment="1">
      <alignment horizontal="right"/>
    </xf>
    <xf numFmtId="164" fontId="96" fillId="0" borderId="0" xfId="0" applyNumberFormat="1" applyFont="1"/>
    <xf numFmtId="168" fontId="87" fillId="0" borderId="15" xfId="0" applyNumberFormat="1" applyFont="1" applyFill="1" applyBorder="1"/>
    <xf numFmtId="168" fontId="87" fillId="0" borderId="15" xfId="0" applyNumberFormat="1" applyFont="1" applyBorder="1"/>
    <xf numFmtId="0" fontId="7" fillId="18" borderId="0" xfId="0" applyFont="1" applyFill="1" applyAlignment="1">
      <alignment horizontal="center"/>
    </xf>
    <xf numFmtId="0" fontId="7" fillId="29" borderId="0" xfId="0" applyFont="1" applyFill="1" applyAlignment="1">
      <alignment horizontal="center"/>
    </xf>
    <xf numFmtId="0" fontId="70" fillId="18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2" fontId="97" fillId="0" borderId="0" xfId="0" applyNumberFormat="1" applyFont="1" applyFill="1" applyAlignment="1">
      <alignment horizontal="right"/>
    </xf>
    <xf numFmtId="168" fontId="97" fillId="0" borderId="15" xfId="0" applyNumberFormat="1" applyFont="1" applyFill="1" applyBorder="1"/>
    <xf numFmtId="0" fontId="97" fillId="0" borderId="10" xfId="0" applyFont="1" applyFill="1" applyBorder="1" applyAlignment="1">
      <alignment horizontal="right"/>
    </xf>
    <xf numFmtId="164" fontId="97" fillId="0" borderId="0" xfId="0" applyNumberFormat="1" applyFont="1" applyFill="1"/>
    <xf numFmtId="2" fontId="97" fillId="0" borderId="0" xfId="0" applyNumberFormat="1" applyFont="1" applyAlignment="1">
      <alignment horizontal="right"/>
    </xf>
    <xf numFmtId="168" fontId="97" fillId="0" borderId="15" xfId="0" applyNumberFormat="1" applyFont="1" applyBorder="1"/>
    <xf numFmtId="164" fontId="97" fillId="0" borderId="0" xfId="0" applyNumberFormat="1" applyFont="1"/>
    <xf numFmtId="0" fontId="97" fillId="0" borderId="10" xfId="0" applyFont="1" applyBorder="1" applyAlignment="1">
      <alignment horizontal="right"/>
    </xf>
    <xf numFmtId="2" fontId="98" fillId="0" borderId="0" xfId="0" applyNumberFormat="1" applyFont="1" applyFill="1" applyAlignment="1">
      <alignment horizontal="right"/>
    </xf>
    <xf numFmtId="2" fontId="98" fillId="0" borderId="0" xfId="0" applyNumberFormat="1" applyFont="1" applyAlignment="1">
      <alignment horizontal="right"/>
    </xf>
    <xf numFmtId="168" fontId="98" fillId="0" borderId="15" xfId="0" applyNumberFormat="1" applyFont="1" applyBorder="1"/>
    <xf numFmtId="0" fontId="98" fillId="0" borderId="10" xfId="0" applyFont="1" applyBorder="1" applyAlignment="1">
      <alignment horizontal="right"/>
    </xf>
    <xf numFmtId="164" fontId="98" fillId="0" borderId="0" xfId="0" applyNumberFormat="1" applyFont="1"/>
    <xf numFmtId="15" fontId="97" fillId="0" borderId="0" xfId="0" applyNumberFormat="1" applyFont="1" applyFill="1"/>
    <xf numFmtId="2" fontId="97" fillId="0" borderId="0" xfId="0" applyNumberFormat="1" applyFont="1" applyFill="1"/>
    <xf numFmtId="0" fontId="14" fillId="0" borderId="0" xfId="0" applyFont="1" applyFill="1"/>
    <xf numFmtId="0" fontId="28" fillId="18" borderId="0" xfId="0" applyFont="1" applyFill="1" applyAlignment="1">
      <alignment horizontal="center"/>
    </xf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0" fontId="40" fillId="30" borderId="33" xfId="0" applyFont="1" applyFill="1" applyBorder="1" applyAlignment="1">
      <alignment horizontal="left"/>
    </xf>
    <xf numFmtId="0" fontId="28" fillId="30" borderId="33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28" fillId="0" borderId="87" xfId="0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1" fontId="72" fillId="0" borderId="87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horizontal="center" vertical="center" wrapText="1"/>
    </xf>
    <xf numFmtId="0" fontId="57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167" fontId="22" fillId="0" borderId="74" xfId="0" applyNumberFormat="1" applyFont="1" applyFill="1" applyBorder="1" applyAlignment="1"/>
    <xf numFmtId="0" fontId="12" fillId="0" borderId="68" xfId="0" applyFont="1" applyFill="1" applyBorder="1" applyAlignment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100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100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horizontal="left" wrapText="1"/>
    </xf>
    <xf numFmtId="0" fontId="101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0" fontId="85" fillId="30" borderId="0" xfId="0" applyFont="1" applyFill="1" applyAlignment="1">
      <alignment horizontal="center" wrapText="1"/>
    </xf>
    <xf numFmtId="0" fontId="52" fillId="30" borderId="33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/>
    </xf>
    <xf numFmtId="0" fontId="68" fillId="0" borderId="90" xfId="0" applyFont="1" applyFill="1" applyBorder="1" applyAlignment="1">
      <alignment horizontal="center"/>
    </xf>
    <xf numFmtId="168" fontId="7" fillId="0" borderId="87" xfId="0" applyNumberFormat="1" applyFont="1" applyFill="1" applyBorder="1" applyAlignment="1">
      <alignment vertical="center"/>
    </xf>
    <xf numFmtId="0" fontId="28" fillId="30" borderId="33" xfId="0" applyFont="1" applyFill="1" applyBorder="1"/>
    <xf numFmtId="0" fontId="85" fillId="0" borderId="33" xfId="0" applyFont="1" applyFill="1" applyBorder="1" applyAlignment="1">
      <alignment horizontal="center" vertical="center" wrapText="1"/>
    </xf>
    <xf numFmtId="0" fontId="102" fillId="0" borderId="68" xfId="0" applyFont="1" applyFill="1" applyBorder="1" applyAlignment="1">
      <alignment vertical="center"/>
    </xf>
    <xf numFmtId="0" fontId="63" fillId="0" borderId="33" xfId="0" applyFont="1" applyFill="1" applyBorder="1" applyAlignment="1">
      <alignment horizontal="center" vertical="center"/>
    </xf>
    <xf numFmtId="174" fontId="28" fillId="0" borderId="68" xfId="0" applyNumberFormat="1" applyFont="1" applyFill="1" applyBorder="1" applyAlignment="1">
      <alignment horizontal="right"/>
    </xf>
    <xf numFmtId="4" fontId="85" fillId="0" borderId="33" xfId="0" applyNumberFormat="1" applyFont="1" applyFill="1" applyBorder="1" applyAlignment="1">
      <alignment horizontal="center" vertical="center"/>
    </xf>
    <xf numFmtId="167" fontId="7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wrapText="1"/>
    </xf>
    <xf numFmtId="164" fontId="7" fillId="0" borderId="90" xfId="0" applyNumberFormat="1" applyFont="1" applyFill="1" applyBorder="1"/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44" fontId="40" fillId="2" borderId="33" xfId="1" applyFont="1" applyFill="1" applyBorder="1" applyAlignment="1"/>
    <xf numFmtId="167" fontId="22" fillId="2" borderId="68" xfId="0" applyNumberFormat="1" applyFont="1" applyFill="1" applyBorder="1" applyAlignment="1">
      <alignment vertical="center" wrapText="1"/>
    </xf>
    <xf numFmtId="167" fontId="22" fillId="2" borderId="33" xfId="0" applyNumberFormat="1" applyFont="1" applyFill="1" applyBorder="1" applyAlignment="1">
      <alignment vertical="center" wrapText="1"/>
    </xf>
    <xf numFmtId="44" fontId="40" fillId="0" borderId="98" xfId="1" applyFont="1" applyFill="1" applyBorder="1" applyAlignment="1">
      <alignment horizontal="center" vertical="center"/>
    </xf>
    <xf numFmtId="0" fontId="85" fillId="0" borderId="74" xfId="0" applyFont="1" applyFill="1" applyBorder="1" applyAlignment="1">
      <alignment horizontal="center" vertical="center" wrapText="1"/>
    </xf>
    <xf numFmtId="0" fontId="54" fillId="0" borderId="33" xfId="0" applyFont="1" applyFill="1" applyBorder="1" applyAlignment="1">
      <alignment horizontal="center" wrapText="1"/>
    </xf>
    <xf numFmtId="168" fontId="28" fillId="31" borderId="33" xfId="0" applyNumberFormat="1" applyFont="1" applyFill="1" applyBorder="1" applyAlignment="1">
      <alignment horizontal="center" vertical="center" wrapText="1"/>
    </xf>
    <xf numFmtId="167" fontId="72" fillId="0" borderId="74" xfId="0" applyNumberFormat="1" applyFont="1" applyFill="1" applyBorder="1" applyAlignment="1">
      <alignment horizontal="center" vertical="center" wrapText="1"/>
    </xf>
    <xf numFmtId="44" fontId="85" fillId="0" borderId="33" xfId="1" applyFont="1" applyFill="1" applyBorder="1" applyAlignment="1"/>
    <xf numFmtId="167" fontId="104" fillId="0" borderId="33" xfId="0" applyNumberFormat="1" applyFont="1" applyFill="1" applyBorder="1" applyAlignment="1">
      <alignment wrapText="1"/>
    </xf>
    <xf numFmtId="4" fontId="40" fillId="0" borderId="98" xfId="0" applyNumberFormat="1" applyFont="1" applyFill="1" applyBorder="1" applyAlignment="1">
      <alignment horizontal="left" vertical="center"/>
    </xf>
    <xf numFmtId="4" fontId="28" fillId="29" borderId="68" xfId="0" applyNumberFormat="1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28" fillId="0" borderId="33" xfId="1" applyFont="1" applyFill="1" applyBorder="1" applyAlignment="1"/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7" fillId="23" borderId="0" xfId="0" applyFont="1" applyFill="1" applyAlignment="1">
      <alignment horizontal="center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168" fontId="7" fillId="0" borderId="0" xfId="0" applyNumberFormat="1" applyFont="1" applyFill="1" applyBorder="1" applyAlignment="1">
      <alignment horizontal="center" vertical="center"/>
    </xf>
    <xf numFmtId="1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06" xfId="0" applyFont="1" applyFill="1" applyBorder="1" applyAlignment="1">
      <alignment horizontal="center" vertical="center" wrapText="1"/>
    </xf>
    <xf numFmtId="0" fontId="52" fillId="30" borderId="33" xfId="0" applyFont="1" applyFill="1" applyBorder="1" applyAlignment="1">
      <alignment horizontal="center"/>
    </xf>
    <xf numFmtId="0" fontId="52" fillId="29" borderId="33" xfId="0" applyFont="1" applyFill="1" applyBorder="1" applyAlignment="1">
      <alignment horizontal="left" vertical="center"/>
    </xf>
    <xf numFmtId="0" fontId="40" fillId="29" borderId="33" xfId="0" applyFont="1" applyFill="1" applyBorder="1" applyAlignment="1">
      <alignment horizontal="center" vertical="center" wrapText="1"/>
    </xf>
    <xf numFmtId="0" fontId="105" fillId="0" borderId="33" xfId="0" applyFont="1" applyBorder="1" applyAlignment="1">
      <alignment vertical="center" wrapText="1"/>
    </xf>
    <xf numFmtId="0" fontId="7" fillId="32" borderId="33" xfId="0" applyFont="1" applyFill="1" applyBorder="1"/>
    <xf numFmtId="0" fontId="84" fillId="32" borderId="33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68" fontId="28" fillId="0" borderId="74" xfId="0" applyNumberFormat="1" applyFont="1" applyFill="1" applyBorder="1" applyAlignment="1">
      <alignment vertical="center"/>
    </xf>
    <xf numFmtId="1" fontId="83" fillId="0" borderId="74" xfId="0" applyNumberFormat="1" applyFont="1" applyFill="1" applyBorder="1" applyAlignment="1">
      <alignment vertical="center"/>
    </xf>
    <xf numFmtId="167" fontId="72" fillId="0" borderId="68" xfId="0" applyNumberFormat="1" applyFont="1" applyFill="1" applyBorder="1" applyAlignment="1">
      <alignment horizontal="center" vertical="center"/>
    </xf>
    <xf numFmtId="44" fontId="7" fillId="4" borderId="33" xfId="1" applyFont="1" applyFill="1" applyBorder="1" applyAlignment="1">
      <alignment horizontal="center" vertical="center"/>
    </xf>
    <xf numFmtId="4" fontId="85" fillId="0" borderId="33" xfId="0" applyNumberFormat="1" applyFont="1" applyFill="1" applyBorder="1" applyAlignment="1">
      <alignment horizontal="center"/>
    </xf>
    <xf numFmtId="1" fontId="72" fillId="0" borderId="68" xfId="0" applyNumberFormat="1" applyFont="1" applyFill="1" applyBorder="1" applyAlignment="1">
      <alignment horizontal="center" vertical="center"/>
    </xf>
    <xf numFmtId="1" fontId="72" fillId="0" borderId="74" xfId="0" applyNumberFormat="1" applyFont="1" applyFill="1" applyBorder="1" applyAlignment="1">
      <alignment horizontal="center" vertical="center"/>
    </xf>
    <xf numFmtId="1" fontId="81" fillId="0" borderId="33" xfId="0" applyNumberFormat="1" applyFont="1" applyFill="1" applyBorder="1" applyAlignment="1">
      <alignment horizontal="center" vertical="center"/>
    </xf>
    <xf numFmtId="0" fontId="40" fillId="9" borderId="33" xfId="0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28" fillId="0" borderId="74" xfId="0" applyNumberFormat="1" applyFont="1" applyFill="1" applyBorder="1" applyAlignment="1">
      <alignment vertical="center" wrapText="1"/>
    </xf>
    <xf numFmtId="1" fontId="81" fillId="0" borderId="87" xfId="0" applyNumberFormat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4" fontId="85" fillId="0" borderId="98" xfId="0" applyNumberFormat="1" applyFont="1" applyFill="1" applyBorder="1" applyAlignment="1">
      <alignment horizontal="center" vertical="center"/>
    </xf>
    <xf numFmtId="4" fontId="85" fillId="0" borderId="107" xfId="0" applyNumberFormat="1" applyFont="1" applyFill="1" applyBorder="1" applyAlignment="1">
      <alignment horizontal="center" vertical="center"/>
    </xf>
    <xf numFmtId="0" fontId="12" fillId="0" borderId="108" xfId="0" applyFont="1" applyFill="1" applyBorder="1" applyAlignment="1"/>
    <xf numFmtId="174" fontId="28" fillId="0" borderId="107" xfId="0" applyNumberFormat="1" applyFont="1" applyFill="1" applyBorder="1" applyAlignment="1">
      <alignment horizontal="right"/>
    </xf>
    <xf numFmtId="2" fontId="64" fillId="0" borderId="37" xfId="0" applyNumberFormat="1" applyFont="1" applyBorder="1" applyAlignment="1">
      <alignment horizontal="right"/>
    </xf>
    <xf numFmtId="15" fontId="64" fillId="0" borderId="0" xfId="0" applyNumberFormat="1" applyFont="1"/>
    <xf numFmtId="15" fontId="64" fillId="0" borderId="15" xfId="0" applyNumberFormat="1" applyFont="1" applyBorder="1"/>
    <xf numFmtId="168" fontId="64" fillId="0" borderId="0" xfId="0" applyNumberFormat="1" applyFont="1" applyFill="1"/>
    <xf numFmtId="4" fontId="64" fillId="0" borderId="51" xfId="0" applyNumberFormat="1" applyFont="1" applyFill="1" applyBorder="1"/>
    <xf numFmtId="168" fontId="64" fillId="0" borderId="4" xfId="0" applyNumberFormat="1" applyFont="1" applyBorder="1"/>
    <xf numFmtId="15" fontId="88" fillId="0" borderId="4" xfId="0" applyNumberFormat="1" applyFont="1" applyBorder="1"/>
    <xf numFmtId="2" fontId="88" fillId="0" borderId="0" xfId="0" applyNumberFormat="1" applyFont="1" applyAlignment="1">
      <alignment horizontal="right"/>
    </xf>
    <xf numFmtId="0" fontId="88" fillId="0" borderId="10" xfId="0" applyFont="1" applyBorder="1" applyAlignment="1">
      <alignment horizontal="right"/>
    </xf>
    <xf numFmtId="164" fontId="88" fillId="0" borderId="0" xfId="0" applyNumberFormat="1" applyFont="1"/>
    <xf numFmtId="44" fontId="88" fillId="0" borderId="0" xfId="1" applyFont="1"/>
    <xf numFmtId="4" fontId="8" fillId="7" borderId="0" xfId="0" applyNumberFormat="1" applyFont="1" applyFill="1"/>
    <xf numFmtId="164" fontId="64" fillId="7" borderId="0" xfId="0" applyNumberFormat="1" applyFont="1" applyFill="1"/>
    <xf numFmtId="4" fontId="64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2" fontId="44" fillId="7" borderId="0" xfId="0" applyNumberFormat="1" applyFont="1" applyFill="1" applyAlignment="1">
      <alignment horizontal="right"/>
    </xf>
    <xf numFmtId="0" fontId="44" fillId="7" borderId="10" xfId="0" applyFont="1" applyFill="1" applyBorder="1" applyAlignment="1">
      <alignment horizontal="right"/>
    </xf>
    <xf numFmtId="164" fontId="44" fillId="7" borderId="0" xfId="0" applyNumberFormat="1" applyFont="1" applyFill="1"/>
    <xf numFmtId="2" fontId="7" fillId="7" borderId="0" xfId="0" applyNumberFormat="1" applyFont="1" applyFill="1"/>
    <xf numFmtId="4" fontId="7" fillId="0" borderId="12" xfId="0" applyNumberFormat="1" applyFont="1" applyFill="1" applyBorder="1" applyAlignment="1">
      <alignment horizontal="right"/>
    </xf>
    <xf numFmtId="15" fontId="44" fillId="7" borderId="10" xfId="0" applyNumberFormat="1" applyFont="1" applyFill="1" applyBorder="1" applyAlignment="1">
      <alignment horizontal="right"/>
    </xf>
    <xf numFmtId="164" fontId="44" fillId="7" borderId="0" xfId="0" applyNumberFormat="1" applyFont="1" applyFill="1" applyAlignment="1">
      <alignment horizontal="center"/>
    </xf>
    <xf numFmtId="4" fontId="10" fillId="7" borderId="0" xfId="0" applyNumberFormat="1" applyFont="1" applyFill="1"/>
    <xf numFmtId="1" fontId="7" fillId="7" borderId="0" xfId="0" applyNumberFormat="1" applyFont="1" applyFill="1" applyAlignment="1">
      <alignment horizontal="center"/>
    </xf>
    <xf numFmtId="2" fontId="44" fillId="7" borderId="0" xfId="0" applyNumberFormat="1" applyFont="1" applyFill="1"/>
    <xf numFmtId="4" fontId="7" fillId="7" borderId="0" xfId="0" applyNumberFormat="1" applyFont="1" applyFill="1"/>
    <xf numFmtId="0" fontId="7" fillId="22" borderId="0" xfId="0" applyFont="1" applyFill="1" applyAlignment="1">
      <alignment horizontal="center" wrapText="1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2" fontId="96" fillId="7" borderId="0" xfId="0" applyNumberFormat="1" applyFont="1" applyFill="1" applyAlignment="1">
      <alignment horizontal="right"/>
    </xf>
    <xf numFmtId="0" fontId="96" fillId="7" borderId="10" xfId="0" applyFont="1" applyFill="1" applyBorder="1" applyAlignment="1">
      <alignment horizontal="right"/>
    </xf>
    <xf numFmtId="164" fontId="96" fillId="7" borderId="0" xfId="0" applyNumberFormat="1" applyFont="1" applyFill="1"/>
    <xf numFmtId="2" fontId="39" fillId="7" borderId="0" xfId="0" applyNumberFormat="1" applyFont="1" applyFill="1"/>
    <xf numFmtId="2" fontId="87" fillId="7" borderId="0" xfId="0" applyNumberFormat="1" applyFont="1" applyFill="1" applyAlignment="1">
      <alignment horizontal="right"/>
    </xf>
    <xf numFmtId="0" fontId="87" fillId="7" borderId="10" xfId="0" applyFont="1" applyFill="1" applyBorder="1" applyAlignment="1">
      <alignment horizontal="right"/>
    </xf>
    <xf numFmtId="164" fontId="87" fillId="7" borderId="0" xfId="0" applyNumberFormat="1" applyFont="1" applyFill="1"/>
    <xf numFmtId="1" fontId="28" fillId="0" borderId="11" xfId="0" applyNumberFormat="1" applyFont="1" applyBorder="1" applyAlignment="1">
      <alignment horizontal="center"/>
    </xf>
    <xf numFmtId="2" fontId="89" fillId="7" borderId="0" xfId="0" applyNumberFormat="1" applyFont="1" applyFill="1" applyAlignment="1">
      <alignment horizontal="right"/>
    </xf>
    <xf numFmtId="0" fontId="89" fillId="7" borderId="10" xfId="0" applyFont="1" applyFill="1" applyBorder="1" applyAlignment="1">
      <alignment horizontal="right"/>
    </xf>
    <xf numFmtId="164" fontId="89" fillId="7" borderId="0" xfId="0" applyNumberFormat="1" applyFont="1" applyFill="1"/>
    <xf numFmtId="164" fontId="0" fillId="7" borderId="0" xfId="0" applyNumberForma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4" fillId="7" borderId="0" xfId="0" applyNumberFormat="1" applyFont="1" applyFill="1" applyAlignment="1">
      <alignment horizontal="right"/>
    </xf>
    <xf numFmtId="0" fontId="54" fillId="7" borderId="10" xfId="0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center"/>
    </xf>
    <xf numFmtId="15" fontId="54" fillId="7" borderId="10" xfId="0" applyNumberFormat="1" applyFont="1" applyFill="1" applyBorder="1" applyAlignment="1">
      <alignment horizontal="right"/>
    </xf>
    <xf numFmtId="2" fontId="89" fillId="7" borderId="0" xfId="0" applyNumberFormat="1" applyFont="1" applyFill="1"/>
    <xf numFmtId="4" fontId="15" fillId="7" borderId="0" xfId="0" applyNumberFormat="1" applyFont="1" applyFill="1"/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164" fontId="7" fillId="7" borderId="0" xfId="0" applyNumberFormat="1" applyFont="1" applyFill="1" applyAlignment="1">
      <alignment horizontal="center"/>
    </xf>
    <xf numFmtId="0" fontId="74" fillId="7" borderId="10" xfId="0" applyFont="1" applyFill="1" applyBorder="1" applyAlignment="1">
      <alignment horizontal="right"/>
    </xf>
    <xf numFmtId="164" fontId="74" fillId="7" borderId="0" xfId="0" applyNumberFormat="1" applyFont="1" applyFill="1"/>
    <xf numFmtId="44" fontId="7" fillId="7" borderId="0" xfId="1" applyFont="1" applyFill="1"/>
    <xf numFmtId="164" fontId="34" fillId="4" borderId="0" xfId="0" applyNumberFormat="1" applyFont="1" applyFill="1"/>
    <xf numFmtId="2" fontId="34" fillId="7" borderId="0" xfId="0" applyNumberFormat="1" applyFont="1" applyFill="1" applyAlignment="1">
      <alignment horizontal="right"/>
    </xf>
    <xf numFmtId="0" fontId="34" fillId="7" borderId="10" xfId="0" applyFont="1" applyFill="1" applyBorder="1" applyAlignment="1">
      <alignment horizontal="right"/>
    </xf>
    <xf numFmtId="164" fontId="34" fillId="7" borderId="0" xfId="0" applyNumberFormat="1" applyFont="1" applyFill="1"/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2" fontId="0" fillId="7" borderId="0" xfId="0" applyNumberFormat="1" applyFill="1"/>
    <xf numFmtId="15" fontId="7" fillId="7" borderId="10" xfId="0" applyNumberFormat="1" applyFont="1" applyFill="1" applyBorder="1" applyAlignment="1">
      <alignment horizontal="right"/>
    </xf>
    <xf numFmtId="0" fontId="7" fillId="2" borderId="77" xfId="0" applyFont="1" applyFill="1" applyBorder="1" applyAlignment="1">
      <alignment horizontal="center"/>
    </xf>
    <xf numFmtId="15" fontId="44" fillId="0" borderId="15" xfId="0" applyNumberFormat="1" applyFont="1" applyFill="1" applyBorder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2" fontId="54" fillId="7" borderId="5" xfId="0" applyNumberFormat="1" applyFont="1" applyFill="1" applyBorder="1" applyAlignment="1">
      <alignment horizontal="right"/>
    </xf>
    <xf numFmtId="164" fontId="54" fillId="7" borderId="0" xfId="0" applyNumberFormat="1" applyFont="1" applyFill="1" applyAlignment="1">
      <alignment horizontal="right"/>
    </xf>
    <xf numFmtId="44" fontId="54" fillId="7" borderId="0" xfId="1" applyFont="1" applyFill="1"/>
    <xf numFmtId="44" fontId="82" fillId="2" borderId="90" xfId="1" applyFont="1" applyFill="1" applyBorder="1" applyAlignment="1"/>
    <xf numFmtId="167" fontId="106" fillId="2" borderId="33" xfId="0" applyNumberFormat="1" applyFont="1" applyFill="1" applyBorder="1" applyAlignment="1">
      <alignment vertical="center" wrapText="1"/>
    </xf>
    <xf numFmtId="44" fontId="85" fillId="2" borderId="74" xfId="1" applyFont="1" applyFill="1" applyBorder="1" applyAlignment="1">
      <alignment vertical="center"/>
    </xf>
    <xf numFmtId="0" fontId="102" fillId="0" borderId="98" xfId="0" applyFont="1" applyFill="1" applyBorder="1" applyAlignment="1">
      <alignment horizontal="center" vertical="center"/>
    </xf>
    <xf numFmtId="0" fontId="28" fillId="0" borderId="98" xfId="0" applyFont="1" applyFill="1" applyBorder="1" applyAlignment="1">
      <alignment horizontal="left"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167" fontId="72" fillId="0" borderId="87" xfId="0" applyNumberFormat="1" applyFont="1" applyFill="1" applyBorder="1" applyAlignment="1">
      <alignment horizontal="center" vertical="center"/>
    </xf>
    <xf numFmtId="0" fontId="68" fillId="0" borderId="90" xfId="0" applyFont="1" applyFill="1" applyBorder="1" applyAlignment="1">
      <alignment vertical="center"/>
    </xf>
    <xf numFmtId="0" fontId="7" fillId="0" borderId="90" xfId="0" applyFont="1" applyFill="1" applyBorder="1" applyAlignment="1">
      <alignment horizontal="center"/>
    </xf>
    <xf numFmtId="168" fontId="28" fillId="0" borderId="87" xfId="0" applyNumberFormat="1" applyFont="1" applyFill="1" applyBorder="1" applyAlignment="1">
      <alignment vertical="center"/>
    </xf>
    <xf numFmtId="44" fontId="85" fillId="2" borderId="90" xfId="1" applyFont="1" applyFill="1" applyBorder="1" applyAlignment="1"/>
    <xf numFmtId="167" fontId="88" fillId="2" borderId="33" xfId="0" applyNumberFormat="1" applyFont="1" applyFill="1" applyBorder="1" applyAlignment="1">
      <alignment vertical="center" wrapText="1"/>
    </xf>
    <xf numFmtId="164" fontId="28" fillId="0" borderId="33" xfId="0" applyNumberFormat="1" applyFont="1" applyFill="1" applyBorder="1" applyAlignment="1"/>
    <xf numFmtId="44" fontId="7" fillId="2" borderId="33" xfId="1" applyFont="1" applyFill="1" applyBorder="1" applyAlignment="1">
      <alignment horizontal="center"/>
    </xf>
    <xf numFmtId="44" fontId="88" fillId="2" borderId="33" xfId="1" applyFont="1" applyFill="1" applyBorder="1" applyAlignment="1">
      <alignment horizontal="center"/>
    </xf>
    <xf numFmtId="0" fontId="106" fillId="0" borderId="33" xfId="0" applyFont="1" applyFill="1" applyBorder="1" applyAlignment="1">
      <alignment horizontal="center" vertical="center"/>
    </xf>
    <xf numFmtId="44" fontId="40" fillId="2" borderId="98" xfId="1" applyFont="1" applyFill="1" applyBorder="1" applyAlignment="1">
      <alignment vertical="center"/>
    </xf>
    <xf numFmtId="44" fontId="7" fillId="2" borderId="33" xfId="1" applyFont="1" applyFill="1" applyBorder="1" applyAlignment="1">
      <alignment horizontal="right"/>
    </xf>
    <xf numFmtId="44" fontId="7" fillId="2" borderId="33" xfId="1" applyFont="1" applyFill="1" applyBorder="1" applyAlignment="1">
      <alignment horizontal="center" wrapText="1"/>
    </xf>
    <xf numFmtId="44" fontId="28" fillId="2" borderId="33" xfId="1" applyFont="1" applyFill="1" applyBorder="1" applyAlignment="1"/>
    <xf numFmtId="44" fontId="85" fillId="33" borderId="98" xfId="1" applyFont="1" applyFill="1" applyBorder="1" applyAlignment="1"/>
    <xf numFmtId="44" fontId="85" fillId="33" borderId="107" xfId="1" applyFont="1" applyFill="1" applyBorder="1" applyAlignment="1">
      <alignment horizontal="center" vertical="center"/>
    </xf>
    <xf numFmtId="167" fontId="17" fillId="22" borderId="33" xfId="0" applyNumberFormat="1" applyFont="1" applyFill="1" applyBorder="1" applyAlignment="1">
      <alignment wrapText="1"/>
    </xf>
    <xf numFmtId="164" fontId="7" fillId="22" borderId="33" xfId="0" applyNumberFormat="1" applyFont="1" applyFill="1" applyBorder="1"/>
    <xf numFmtId="1" fontId="28" fillId="22" borderId="33" xfId="0" applyNumberFormat="1" applyFont="1" applyFill="1" applyBorder="1" applyAlignment="1">
      <alignment horizontal="center" vertical="center"/>
    </xf>
    <xf numFmtId="167" fontId="22" fillId="22" borderId="33" xfId="0" applyNumberFormat="1" applyFont="1" applyFill="1" applyBorder="1" applyAlignment="1">
      <alignment wrapText="1"/>
    </xf>
    <xf numFmtId="44" fontId="7" fillId="22" borderId="33" xfId="1" applyFont="1" applyFill="1" applyBorder="1" applyAlignment="1">
      <alignment horizontal="right"/>
    </xf>
    <xf numFmtId="0" fontId="52" fillId="0" borderId="109" xfId="0" applyFont="1" applyFill="1" applyBorder="1" applyAlignment="1">
      <alignment horizontal="center" vertical="center" wrapText="1"/>
    </xf>
    <xf numFmtId="0" fontId="52" fillId="0" borderId="110" xfId="0" applyFont="1" applyFill="1" applyBorder="1" applyAlignment="1">
      <alignment horizontal="center" vertical="center" wrapText="1"/>
    </xf>
    <xf numFmtId="0" fontId="52" fillId="0" borderId="111" xfId="0" applyFont="1" applyFill="1" applyBorder="1" applyAlignment="1">
      <alignment horizontal="center" vertical="center" wrapText="1"/>
    </xf>
    <xf numFmtId="168" fontId="15" fillId="0" borderId="48" xfId="0" applyNumberFormat="1" applyFont="1" applyFill="1" applyBorder="1" applyAlignment="1">
      <alignment horizontal="center" vertical="center" wrapText="1"/>
    </xf>
    <xf numFmtId="168" fontId="15" fillId="0" borderId="51" xfId="0" applyNumberFormat="1" applyFont="1" applyFill="1" applyBorder="1" applyAlignment="1">
      <alignment horizontal="center" vertical="center" wrapText="1"/>
    </xf>
    <xf numFmtId="168" fontId="15" fillId="0" borderId="49" xfId="0" applyNumberFormat="1" applyFont="1" applyFill="1" applyBorder="1" applyAlignment="1">
      <alignment horizontal="center" vertical="center" wrapText="1"/>
    </xf>
    <xf numFmtId="1" fontId="81" fillId="0" borderId="109" xfId="0" applyNumberFormat="1" applyFont="1" applyFill="1" applyBorder="1" applyAlignment="1">
      <alignment horizontal="center" vertical="center" wrapText="1"/>
    </xf>
    <xf numFmtId="1" fontId="81" fillId="0" borderId="110" xfId="0" applyNumberFormat="1" applyFont="1" applyFill="1" applyBorder="1" applyAlignment="1">
      <alignment horizontal="center" vertical="center" wrapText="1"/>
    </xf>
    <xf numFmtId="1" fontId="81" fillId="0" borderId="111" xfId="0" applyNumberFormat="1" applyFont="1" applyFill="1" applyBorder="1" applyAlignment="1">
      <alignment horizontal="center" vertical="center" wrapText="1"/>
    </xf>
    <xf numFmtId="167" fontId="7" fillId="0" borderId="48" xfId="0" applyNumberFormat="1" applyFont="1" applyFill="1" applyBorder="1" applyAlignment="1">
      <alignment horizontal="center" vertical="center" wrapText="1"/>
    </xf>
    <xf numFmtId="167" fontId="7" fillId="0" borderId="51" xfId="0" applyNumberFormat="1" applyFont="1" applyFill="1" applyBorder="1" applyAlignment="1">
      <alignment horizontal="center" vertical="center" wrapText="1"/>
    </xf>
    <xf numFmtId="167" fontId="7" fillId="0" borderId="49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51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51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1" fillId="0" borderId="48" xfId="0" applyNumberFormat="1" applyFont="1" applyFill="1" applyBorder="1" applyAlignment="1">
      <alignment horizontal="center" vertical="center"/>
    </xf>
    <xf numFmtId="1" fontId="81" fillId="0" borderId="51" xfId="0" applyNumberFormat="1" applyFont="1" applyFill="1" applyBorder="1" applyAlignment="1">
      <alignment horizontal="center" vertical="center"/>
    </xf>
    <xf numFmtId="1" fontId="81" fillId="0" borderId="49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0" fontId="52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51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" fontId="72" fillId="22" borderId="48" xfId="0" applyNumberFormat="1" applyFont="1" applyFill="1" applyBorder="1" applyAlignment="1">
      <alignment horizontal="center" vertical="center" wrapText="1"/>
    </xf>
    <xf numFmtId="1" fontId="72" fillId="22" borderId="49" xfId="0" applyNumberFormat="1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horizontal="center" vertical="center"/>
    </xf>
    <xf numFmtId="168" fontId="88" fillId="0" borderId="48" xfId="0" applyNumberFormat="1" applyFont="1" applyFill="1" applyBorder="1" applyAlignment="1">
      <alignment horizontal="center" vertical="center" wrapText="1"/>
    </xf>
    <xf numFmtId="168" fontId="88" fillId="0" borderId="49" xfId="0" applyNumberFormat="1" applyFont="1" applyFill="1" applyBorder="1" applyAlignment="1">
      <alignment horizontal="center" vertical="center" wrapText="1"/>
    </xf>
    <xf numFmtId="168" fontId="85" fillId="0" borderId="48" xfId="0" applyNumberFormat="1" applyFont="1" applyFill="1" applyBorder="1" applyAlignment="1">
      <alignment horizontal="center" vertical="center"/>
    </xf>
    <xf numFmtId="168" fontId="85" fillId="0" borderId="49" xfId="0" applyNumberFormat="1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wrapText="1"/>
    </xf>
    <xf numFmtId="0" fontId="28" fillId="2" borderId="105" xfId="0" applyFont="1" applyFill="1" applyBorder="1" applyAlignment="1">
      <alignment horizontal="center" vertical="center"/>
    </xf>
    <xf numFmtId="0" fontId="28" fillId="2" borderId="71" xfId="0" applyFont="1" applyFill="1" applyBorder="1" applyAlignment="1">
      <alignment horizontal="center" vertical="center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72" fillId="2" borderId="105" xfId="0" applyNumberFormat="1" applyFont="1" applyFill="1" applyBorder="1" applyAlignment="1">
      <alignment horizontal="center" vertical="center" wrapText="1"/>
    </xf>
    <xf numFmtId="1" fontId="72" fillId="2" borderId="71" xfId="0" applyNumberFormat="1" applyFont="1" applyFill="1" applyBorder="1" applyAlignment="1">
      <alignment horizontal="center" vertical="center" wrapText="1"/>
    </xf>
    <xf numFmtId="167" fontId="88" fillId="2" borderId="74" xfId="0" applyNumberFormat="1" applyFont="1" applyFill="1" applyBorder="1" applyAlignment="1">
      <alignment horizontal="center" vertical="center" wrapText="1"/>
    </xf>
    <xf numFmtId="167" fontId="88" fillId="2" borderId="6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40" fillId="0" borderId="90" xfId="0" applyFont="1" applyFill="1" applyBorder="1" applyAlignment="1">
      <alignment horizontal="center" vertical="center" wrapText="1"/>
    </xf>
    <xf numFmtId="0" fontId="40" fillId="0" borderId="98" xfId="0" applyFont="1" applyFill="1" applyBorder="1" applyAlignment="1">
      <alignment horizontal="center" vertical="center" wrapText="1"/>
    </xf>
    <xf numFmtId="0" fontId="50" fillId="0" borderId="90" xfId="0" applyFont="1" applyFill="1" applyBorder="1" applyAlignment="1">
      <alignment horizontal="center"/>
    </xf>
    <xf numFmtId="0" fontId="50" fillId="0" borderId="98" xfId="0" applyFont="1" applyFill="1" applyBorder="1" applyAlignment="1">
      <alignment horizontal="center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8" fillId="2" borderId="74" xfId="0" applyNumberFormat="1" applyFont="1" applyFill="1" applyBorder="1" applyAlignment="1">
      <alignment horizontal="center" vertical="center"/>
    </xf>
    <xf numFmtId="167" fontId="28" fillId="2" borderId="87" xfId="0" applyNumberFormat="1" applyFont="1" applyFill="1" applyBorder="1" applyAlignment="1">
      <alignment horizontal="center" vertical="center"/>
    </xf>
    <xf numFmtId="167" fontId="28" fillId="2" borderId="68" xfId="0" applyNumberFormat="1" applyFont="1" applyFill="1" applyBorder="1" applyAlignment="1">
      <alignment horizontal="center" vertical="center"/>
    </xf>
    <xf numFmtId="164" fontId="28" fillId="2" borderId="74" xfId="0" applyNumberFormat="1" applyFont="1" applyFill="1" applyBorder="1" applyAlignment="1">
      <alignment horizontal="center" vertical="center"/>
    </xf>
    <xf numFmtId="164" fontId="28" fillId="2" borderId="87" xfId="0" applyNumberFormat="1" applyFont="1" applyFill="1" applyBorder="1" applyAlignment="1">
      <alignment horizontal="center" vertical="center"/>
    </xf>
    <xf numFmtId="164" fontId="28" fillId="2" borderId="68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55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7" fillId="29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44" fillId="12" borderId="0" xfId="0" applyFont="1" applyFill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0" fillId="0" borderId="57" xfId="0" applyFont="1" applyBorder="1" applyAlignment="1">
      <alignment horizontal="center" wrapText="1"/>
    </xf>
    <xf numFmtId="0" fontId="40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22" fillId="22" borderId="33" xfId="0" applyFont="1" applyFill="1" applyBorder="1" applyAlignment="1">
      <alignment horizontal="left" wrapText="1"/>
    </xf>
    <xf numFmtId="164" fontId="7" fillId="34" borderId="33" xfId="0" applyNumberFormat="1" applyFont="1" applyFill="1" applyBorder="1"/>
    <xf numFmtId="167" fontId="17" fillId="34" borderId="33" xfId="0" applyNumberFormat="1" applyFont="1" applyFill="1" applyBorder="1" applyAlignment="1">
      <alignment wrapText="1"/>
    </xf>
    <xf numFmtId="167" fontId="22" fillId="34" borderId="33" xfId="0" applyNumberFormat="1" applyFont="1" applyFill="1" applyBorder="1" applyAlignment="1">
      <alignment horizontal="left" wrapText="1"/>
    </xf>
    <xf numFmtId="1" fontId="28" fillId="34" borderId="33" xfId="0" applyNumberFormat="1" applyFont="1" applyFill="1" applyBorder="1" applyAlignment="1">
      <alignment horizontal="center" vertical="center"/>
    </xf>
    <xf numFmtId="44" fontId="7" fillId="34" borderId="33" xfId="1" applyFont="1" applyFill="1" applyBorder="1" applyAlignment="1">
      <alignment horizontal="center"/>
    </xf>
    <xf numFmtId="44" fontId="7" fillId="34" borderId="33" xfId="1" applyFont="1" applyFill="1" applyBorder="1"/>
    <xf numFmtId="166" fontId="17" fillId="34" borderId="33" xfId="0" applyNumberFormat="1" applyFont="1" applyFill="1" applyBorder="1" applyAlignment="1">
      <alignment horizontal="left" wrapText="1"/>
    </xf>
    <xf numFmtId="44" fontId="7" fillId="34" borderId="33" xfId="1" applyFont="1" applyFill="1" applyBorder="1" applyAlignment="1">
      <alignment horizontal="right" vertical="center"/>
    </xf>
    <xf numFmtId="44" fontId="7" fillId="34" borderId="33" xfId="1" applyFont="1" applyFill="1" applyBorder="1" applyAlignment="1">
      <alignment horizontal="right"/>
    </xf>
    <xf numFmtId="0" fontId="22" fillId="34" borderId="33" xfId="0" applyFont="1" applyFill="1" applyBorder="1" applyAlignment="1">
      <alignment horizontal="left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66FFFF"/>
      <color rgb="FFCC9900"/>
      <color rgb="FF3333FF"/>
      <color rgb="FF99FFCC"/>
      <color rgb="FF00FF00"/>
      <color rgb="FFFF33CC"/>
      <color rgb="FF00CC00"/>
      <color rgb="FF33CCCC"/>
      <color rgb="FFCC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7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2.xml"/><Relationship Id="rId42" Type="http://schemas.openxmlformats.org/officeDocument/2006/relationships/worksheet" Target="worksheets/sheet39.xml"/><Relationship Id="rId47" Type="http://schemas.openxmlformats.org/officeDocument/2006/relationships/worksheet" Target="worksheets/sheet44.xml"/><Relationship Id="rId50" Type="http://schemas.openxmlformats.org/officeDocument/2006/relationships/worksheet" Target="worksheets/sheet47.xml"/><Relationship Id="rId55" Type="http://schemas.openxmlformats.org/officeDocument/2006/relationships/worksheet" Target="worksheets/sheet52.xml"/><Relationship Id="rId63" Type="http://schemas.openxmlformats.org/officeDocument/2006/relationships/theme" Target="theme/theme1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chartsheet" Target="chartsheets/sheet3.xml"/><Relationship Id="rId54" Type="http://schemas.openxmlformats.org/officeDocument/2006/relationships/worksheet" Target="worksheets/sheet51.xml"/><Relationship Id="rId62" Type="http://schemas.openxmlformats.org/officeDocument/2006/relationships/worksheet" Target="worksheets/sheet59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5.xml"/><Relationship Id="rId40" Type="http://schemas.openxmlformats.org/officeDocument/2006/relationships/worksheet" Target="worksheets/sheet38.xml"/><Relationship Id="rId45" Type="http://schemas.openxmlformats.org/officeDocument/2006/relationships/worksheet" Target="worksheets/sheet42.xml"/><Relationship Id="rId53" Type="http://schemas.openxmlformats.org/officeDocument/2006/relationships/worksheet" Target="worksheets/sheet50.xml"/><Relationship Id="rId58" Type="http://schemas.openxmlformats.org/officeDocument/2006/relationships/worksheet" Target="worksheets/sheet55.xml"/><Relationship Id="rId66" Type="http://schemas.openxmlformats.org/officeDocument/2006/relationships/calcChain" Target="calcChain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4.xml"/><Relationship Id="rId49" Type="http://schemas.openxmlformats.org/officeDocument/2006/relationships/worksheet" Target="worksheets/sheet46.xml"/><Relationship Id="rId57" Type="http://schemas.openxmlformats.org/officeDocument/2006/relationships/worksheet" Target="worksheets/sheet54.xml"/><Relationship Id="rId61" Type="http://schemas.openxmlformats.org/officeDocument/2006/relationships/worksheet" Target="worksheets/sheet5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1.xml"/><Relationship Id="rId52" Type="http://schemas.openxmlformats.org/officeDocument/2006/relationships/worksheet" Target="worksheets/sheet49.xml"/><Relationship Id="rId60" Type="http://schemas.openxmlformats.org/officeDocument/2006/relationships/worksheet" Target="worksheets/sheet57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3.xml"/><Relationship Id="rId43" Type="http://schemas.openxmlformats.org/officeDocument/2006/relationships/worksheet" Target="worksheets/sheet40.xml"/><Relationship Id="rId48" Type="http://schemas.openxmlformats.org/officeDocument/2006/relationships/worksheet" Target="worksheets/sheet45.xml"/><Relationship Id="rId56" Type="http://schemas.openxmlformats.org/officeDocument/2006/relationships/worksheet" Target="worksheets/sheet53.xml"/><Relationship Id="rId64" Type="http://schemas.openxmlformats.org/officeDocument/2006/relationships/styles" Target="style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48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chartsheet" Target="chartsheets/sheet2.xml"/><Relationship Id="rId38" Type="http://schemas.openxmlformats.org/officeDocument/2006/relationships/worksheet" Target="worksheets/sheet36.xml"/><Relationship Id="rId46" Type="http://schemas.openxmlformats.org/officeDocument/2006/relationships/worksheet" Target="worksheets/sheet43.xml"/><Relationship Id="rId59" Type="http://schemas.openxmlformats.org/officeDocument/2006/relationships/worksheet" Target="worksheets/sheet5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L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L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L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45107</c:v>
                </c:pt>
                <c:pt idx="1">
                  <c:v>45111</c:v>
                </c:pt>
                <c:pt idx="2">
                  <c:v>45111</c:v>
                </c:pt>
                <c:pt idx="3">
                  <c:v>45111</c:v>
                </c:pt>
                <c:pt idx="4">
                  <c:v>45111</c:v>
                </c:pt>
                <c:pt idx="5">
                  <c:v>45113</c:v>
                </c:pt>
                <c:pt idx="6">
                  <c:v>45113</c:v>
                </c:pt>
                <c:pt idx="7">
                  <c:v>45115</c:v>
                </c:pt>
                <c:pt idx="8">
                  <c:v>45118</c:v>
                </c:pt>
                <c:pt idx="9">
                  <c:v>45118</c:v>
                </c:pt>
                <c:pt idx="10">
                  <c:v>45118</c:v>
                </c:pt>
                <c:pt idx="11">
                  <c:v>45119</c:v>
                </c:pt>
                <c:pt idx="12">
                  <c:v>45120</c:v>
                </c:pt>
                <c:pt idx="13">
                  <c:v>45121</c:v>
                </c:pt>
                <c:pt idx="14">
                  <c:v>45122</c:v>
                </c:pt>
                <c:pt idx="15">
                  <c:v>45125</c:v>
                </c:pt>
                <c:pt idx="16">
                  <c:v>45125</c:v>
                </c:pt>
                <c:pt idx="17">
                  <c:v>45126</c:v>
                </c:pt>
                <c:pt idx="18">
                  <c:v>45127</c:v>
                </c:pt>
                <c:pt idx="19">
                  <c:v>45128</c:v>
                </c:pt>
                <c:pt idx="20">
                  <c:v>45132</c:v>
                </c:pt>
                <c:pt idx="21">
                  <c:v>45132</c:v>
                </c:pt>
                <c:pt idx="22">
                  <c:v>45133</c:v>
                </c:pt>
                <c:pt idx="23">
                  <c:v>45134</c:v>
                </c:pt>
                <c:pt idx="24">
                  <c:v>45135</c:v>
                </c:pt>
                <c:pt idx="25">
                  <c:v>45135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L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18900.48</c:v>
                </c:pt>
                <c:pt idx="1">
                  <c:v>18730.89</c:v>
                </c:pt>
                <c:pt idx="2">
                  <c:v>18920.57</c:v>
                </c:pt>
                <c:pt idx="3">
                  <c:v>19177.060000000001</c:v>
                </c:pt>
                <c:pt idx="4">
                  <c:v>17027.05</c:v>
                </c:pt>
                <c:pt idx="5">
                  <c:v>19069.2</c:v>
                </c:pt>
                <c:pt idx="6">
                  <c:v>19010.97</c:v>
                </c:pt>
                <c:pt idx="7">
                  <c:v>18866.11</c:v>
                </c:pt>
                <c:pt idx="8">
                  <c:v>19063.169999999998</c:v>
                </c:pt>
                <c:pt idx="9">
                  <c:v>18658.54</c:v>
                </c:pt>
                <c:pt idx="10">
                  <c:v>17358.96</c:v>
                </c:pt>
                <c:pt idx="11">
                  <c:v>17348.32</c:v>
                </c:pt>
                <c:pt idx="12">
                  <c:v>18755.29</c:v>
                </c:pt>
                <c:pt idx="13">
                  <c:v>19031.169999999998</c:v>
                </c:pt>
                <c:pt idx="14">
                  <c:v>18216.79</c:v>
                </c:pt>
                <c:pt idx="15">
                  <c:v>18498.009999999998</c:v>
                </c:pt>
                <c:pt idx="16">
                  <c:v>19016.04</c:v>
                </c:pt>
                <c:pt idx="17">
                  <c:v>18928.48</c:v>
                </c:pt>
                <c:pt idx="18">
                  <c:v>19001.03</c:v>
                </c:pt>
                <c:pt idx="19">
                  <c:v>18625.509999999998</c:v>
                </c:pt>
                <c:pt idx="20">
                  <c:v>18753.2</c:v>
                </c:pt>
                <c:pt idx="21">
                  <c:v>19024.82</c:v>
                </c:pt>
                <c:pt idx="22">
                  <c:v>19010.48</c:v>
                </c:pt>
                <c:pt idx="23">
                  <c:v>16855.38</c:v>
                </c:pt>
                <c:pt idx="24">
                  <c:v>18995.7</c:v>
                </c:pt>
                <c:pt idx="25">
                  <c:v>18725.68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L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23</c:v>
                </c:pt>
                <c:pt idx="2">
                  <c:v>21</c:v>
                </c:pt>
                <c:pt idx="3">
                  <c:v>21</c:v>
                </c:pt>
                <c:pt idx="4">
                  <c:v>19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24</c:v>
                </c:pt>
                <c:pt idx="10">
                  <c:v>19</c:v>
                </c:pt>
                <c:pt idx="11">
                  <c:v>19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22</c:v>
                </c:pt>
                <c:pt idx="23" formatCode="0">
                  <c:v>19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L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18934.669999999998</c:v>
                </c:pt>
                <c:pt idx="1">
                  <c:v>18678.5</c:v>
                </c:pt>
                <c:pt idx="2">
                  <c:v>18957.8</c:v>
                </c:pt>
                <c:pt idx="3">
                  <c:v>19229.7</c:v>
                </c:pt>
                <c:pt idx="4">
                  <c:v>17117.599999999999</c:v>
                </c:pt>
                <c:pt idx="5">
                  <c:v>19154.3</c:v>
                </c:pt>
                <c:pt idx="6">
                  <c:v>19103.5</c:v>
                </c:pt>
                <c:pt idx="7">
                  <c:v>19006.400000000001</c:v>
                </c:pt>
                <c:pt idx="8">
                  <c:v>19098.7</c:v>
                </c:pt>
                <c:pt idx="9">
                  <c:v>18701.5</c:v>
                </c:pt>
                <c:pt idx="10">
                  <c:v>17292.400000000001</c:v>
                </c:pt>
                <c:pt idx="11">
                  <c:v>17288</c:v>
                </c:pt>
                <c:pt idx="12">
                  <c:v>18941.8</c:v>
                </c:pt>
                <c:pt idx="13">
                  <c:v>19010.900000000001</c:v>
                </c:pt>
                <c:pt idx="14">
                  <c:v>18220.2</c:v>
                </c:pt>
                <c:pt idx="15">
                  <c:v>18762.900000000001</c:v>
                </c:pt>
                <c:pt idx="16">
                  <c:v>19039.3</c:v>
                </c:pt>
                <c:pt idx="17">
                  <c:v>18991.400000000001</c:v>
                </c:pt>
                <c:pt idx="18">
                  <c:v>19038.900000000001</c:v>
                </c:pt>
                <c:pt idx="19">
                  <c:v>18765.900000000001</c:v>
                </c:pt>
                <c:pt idx="20">
                  <c:v>18856.599999999999</c:v>
                </c:pt>
                <c:pt idx="21">
                  <c:v>19002.7</c:v>
                </c:pt>
                <c:pt idx="22">
                  <c:v>19116.2</c:v>
                </c:pt>
                <c:pt idx="23">
                  <c:v>17019.7</c:v>
                </c:pt>
                <c:pt idx="24">
                  <c:v>19128.3</c:v>
                </c:pt>
                <c:pt idx="25">
                  <c:v>18767.75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-34.18999999999869</c:v>
                </c:pt>
                <c:pt idx="1">
                  <c:v>52.389999999999418</c:v>
                </c:pt>
                <c:pt idx="2">
                  <c:v>-37.229999999999563</c:v>
                </c:pt>
                <c:pt idx="3">
                  <c:v>-52.639999999999418</c:v>
                </c:pt>
                <c:pt idx="4">
                  <c:v>-90.549999999999272</c:v>
                </c:pt>
                <c:pt idx="5">
                  <c:v>-85.099999999998545</c:v>
                </c:pt>
                <c:pt idx="6">
                  <c:v>-92.529999999998836</c:v>
                </c:pt>
                <c:pt idx="7">
                  <c:v>-140.29000000000087</c:v>
                </c:pt>
                <c:pt idx="8">
                  <c:v>-35.530000000002474</c:v>
                </c:pt>
                <c:pt idx="9">
                  <c:v>-42.959999999999127</c:v>
                </c:pt>
                <c:pt idx="10">
                  <c:v>66.559999999997672</c:v>
                </c:pt>
                <c:pt idx="11">
                  <c:v>60.319999999999709</c:v>
                </c:pt>
                <c:pt idx="12">
                  <c:v>-186.5099999999984</c:v>
                </c:pt>
                <c:pt idx="13">
                  <c:v>20.269999999996799</c:v>
                </c:pt>
                <c:pt idx="14">
                  <c:v>-3.4099999999998545</c:v>
                </c:pt>
                <c:pt idx="15">
                  <c:v>-264.89000000000306</c:v>
                </c:pt>
                <c:pt idx="16">
                  <c:v>-23.259999999998399</c:v>
                </c:pt>
                <c:pt idx="17">
                  <c:v>-62.920000000001892</c:v>
                </c:pt>
                <c:pt idx="18">
                  <c:v>-37.870000000002619</c:v>
                </c:pt>
                <c:pt idx="19">
                  <c:v>-140.39000000000306</c:v>
                </c:pt>
                <c:pt idx="20">
                  <c:v>-103.39999999999782</c:v>
                </c:pt>
                <c:pt idx="21">
                  <c:v>22.119999999998981</c:v>
                </c:pt>
                <c:pt idx="22">
                  <c:v>-105.72000000000116</c:v>
                </c:pt>
                <c:pt idx="23">
                  <c:v>-164.31999999999971</c:v>
                </c:pt>
                <c:pt idx="24">
                  <c:v>-132.59999999999854</c:v>
                </c:pt>
                <c:pt idx="25">
                  <c:v>-42.069999999999709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L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12274</c:v>
                </c:pt>
                <c:pt idx="2" formatCode="&quot;$&quot;#,##0.00">
                  <c:v>10124</c:v>
                </c:pt>
                <c:pt idx="3" formatCode="&quot;$&quot;#,##0.00">
                  <c:v>12434</c:v>
                </c:pt>
                <c:pt idx="4" formatCode="&quot;$&quot;#,##0.00">
                  <c:v>11424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10124</c:v>
                </c:pt>
                <c:pt idx="8" formatCode="&quot;$&quot;#,##0.00">
                  <c:v>12434</c:v>
                </c:pt>
                <c:pt idx="9" formatCode="&quot;$&quot;#,##0.00">
                  <c:v>11424</c:v>
                </c:pt>
                <c:pt idx="11" formatCode="&quot;$&quot;#,##0.00">
                  <c:v>1024</c:v>
                </c:pt>
                <c:pt idx="12" formatCode="&quot;$&quot;#,##0.00">
                  <c:v>12424</c:v>
                </c:pt>
                <c:pt idx="13" formatCode="&quot;$&quot;#,##0.00">
                  <c:v>14389</c:v>
                </c:pt>
                <c:pt idx="14" formatCode="&quot;$&quot;#,##0.00">
                  <c:v>12434</c:v>
                </c:pt>
                <c:pt idx="15" formatCode="&quot;$&quot;#,##0.00">
                  <c:v>12274</c:v>
                </c:pt>
                <c:pt idx="16" formatCode="&quot;$&quot;#,##0.00">
                  <c:v>12434</c:v>
                </c:pt>
                <c:pt idx="17" formatCode="&quot;$&quot;#,##0.00">
                  <c:v>10124</c:v>
                </c:pt>
                <c:pt idx="18" formatCode="&quot;$&quot;#,##0.00">
                  <c:v>13906</c:v>
                </c:pt>
                <c:pt idx="19" formatCode="&quot;$&quot;#,##0.00">
                  <c:v>12274</c:v>
                </c:pt>
                <c:pt idx="21" formatCode="&quot;$&quot;#,##0.00">
                  <c:v>11424</c:v>
                </c:pt>
                <c:pt idx="23">
                  <c:v>12274</c:v>
                </c:pt>
                <c:pt idx="24">
                  <c:v>11424</c:v>
                </c:pt>
                <c:pt idx="25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3">
                  <c:v>37120</c:v>
                </c:pt>
                <c:pt idx="24" formatCode="_(&quot;$&quot;* #,##0.00_);_(&quot;$&quot;* \(#,##0.00\);_(&quot;$&quot;* &quot;-&quot;??_);_(@_)">
                  <c:v>37120</c:v>
                </c:pt>
                <c:pt idx="25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203072</c:v>
                </c:pt>
                <c:pt idx="2">
                  <c:v>2191935</c:v>
                </c:pt>
                <c:pt idx="3">
                  <c:v>2191936</c:v>
                </c:pt>
                <c:pt idx="4">
                  <c:v>2192417</c:v>
                </c:pt>
                <c:pt idx="5">
                  <c:v>2192416</c:v>
                </c:pt>
                <c:pt idx="6">
                  <c:v>2192418</c:v>
                </c:pt>
                <c:pt idx="7">
                  <c:v>2193460</c:v>
                </c:pt>
                <c:pt idx="8">
                  <c:v>2193946</c:v>
                </c:pt>
                <c:pt idx="9">
                  <c:v>203077</c:v>
                </c:pt>
                <c:pt idx="11">
                  <c:v>2194763</c:v>
                </c:pt>
                <c:pt idx="12">
                  <c:v>2194764</c:v>
                </c:pt>
                <c:pt idx="13">
                  <c:v>2195872</c:v>
                </c:pt>
                <c:pt idx="14">
                  <c:v>2195871</c:v>
                </c:pt>
                <c:pt idx="15">
                  <c:v>2196274</c:v>
                </c:pt>
                <c:pt idx="16">
                  <c:v>2196214</c:v>
                </c:pt>
                <c:pt idx="17">
                  <c:v>2196662</c:v>
                </c:pt>
                <c:pt idx="18">
                  <c:v>2197532</c:v>
                </c:pt>
                <c:pt idx="19">
                  <c:v>2198358</c:v>
                </c:pt>
                <c:pt idx="21">
                  <c:v>2199348</c:v>
                </c:pt>
                <c:pt idx="22">
                  <c:v>3464</c:v>
                </c:pt>
                <c:pt idx="23">
                  <c:v>2200035</c:v>
                </c:pt>
                <c:pt idx="24">
                  <c:v>2200216</c:v>
                </c:pt>
                <c:pt idx="25">
                  <c:v>11898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4292</c:v>
                </c:pt>
                <c:pt idx="2">
                  <c:v>4930</c:v>
                </c:pt>
                <c:pt idx="3">
                  <c:v>4930</c:v>
                </c:pt>
                <c:pt idx="4">
                  <c:v>4408</c:v>
                </c:pt>
                <c:pt idx="5">
                  <c:v>4901</c:v>
                </c:pt>
                <c:pt idx="6">
                  <c:v>4901</c:v>
                </c:pt>
                <c:pt idx="7">
                  <c:v>4959</c:v>
                </c:pt>
                <c:pt idx="8">
                  <c:v>5104</c:v>
                </c:pt>
                <c:pt idx="9">
                  <c:v>4350</c:v>
                </c:pt>
                <c:pt idx="10">
                  <c:v>4640</c:v>
                </c:pt>
                <c:pt idx="11">
                  <c:v>4611</c:v>
                </c:pt>
                <c:pt idx="12">
                  <c:v>5104</c:v>
                </c:pt>
                <c:pt idx="13">
                  <c:v>5249</c:v>
                </c:pt>
                <c:pt idx="14">
                  <c:v>5046</c:v>
                </c:pt>
                <c:pt idx="15">
                  <c:v>5336</c:v>
                </c:pt>
                <c:pt idx="16">
                  <c:v>5423</c:v>
                </c:pt>
                <c:pt idx="17">
                  <c:v>5336</c:v>
                </c:pt>
                <c:pt idx="18">
                  <c:v>5423</c:v>
                </c:pt>
                <c:pt idx="19">
                  <c:v>5394</c:v>
                </c:pt>
                <c:pt idx="20">
                  <c:v>5394</c:v>
                </c:pt>
                <c:pt idx="21">
                  <c:v>5394</c:v>
                </c:pt>
                <c:pt idx="22">
                  <c:v>0</c:v>
                </c:pt>
                <c:pt idx="23">
                  <c:v>4756</c:v>
                </c:pt>
                <c:pt idx="24">
                  <c:v>5133</c:v>
                </c:pt>
                <c:pt idx="25">
                  <c:v>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675434.28960000002</c:v>
                </c:pt>
                <c:pt idx="2">
                  <c:v>779999.69760000007</c:v>
                </c:pt>
                <c:pt idx="3">
                  <c:v>791215.86560000002</c:v>
                </c:pt>
                <c:pt idx="4">
                  <c:v>704285.81280000007</c:v>
                </c:pt>
                <c:pt idx="5">
                  <c:v>786389.48829999997</c:v>
                </c:pt>
                <c:pt idx="6">
                  <c:v>785909.66819999996</c:v>
                </c:pt>
                <c:pt idx="7">
                  <c:v>795950.85629999998</c:v>
                </c:pt>
                <c:pt idx="8">
                  <c:v>819164.26509999996</c:v>
                </c:pt>
                <c:pt idx="9">
                  <c:v>690107.49359999993</c:v>
                </c:pt>
                <c:pt idx="11">
                  <c:v>736532.8905000001</c:v>
                </c:pt>
                <c:pt idx="12">
                  <c:v>824880.60930000013</c:v>
                </c:pt>
                <c:pt idx="13">
                  <c:v>843489.33239999996</c:v>
                </c:pt>
                <c:pt idx="14">
                  <c:v>808431.28079999995</c:v>
                </c:pt>
                <c:pt idx="15">
                  <c:v>862593.31129999994</c:v>
                </c:pt>
                <c:pt idx="16">
                  <c:v>874801.73199999996</c:v>
                </c:pt>
                <c:pt idx="17">
                  <c:v>862119.28125</c:v>
                </c:pt>
                <c:pt idx="18">
                  <c:v>873845.37</c:v>
                </c:pt>
                <c:pt idx="19">
                  <c:v>870781.87823000003</c:v>
                </c:pt>
                <c:pt idx="21">
                  <c:v>873697.18229999999</c:v>
                </c:pt>
                <c:pt idx="22">
                  <c:v>917586.72</c:v>
                </c:pt>
                <c:pt idx="23">
                  <c:v>760063.69140000001</c:v>
                </c:pt>
                <c:pt idx="24">
                  <c:v>826082.90891</c:v>
                </c:pt>
                <c:pt idx="25">
                  <c:v>800663.02289999998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729120.28960000002</c:v>
                </c:pt>
                <c:pt idx="2">
                  <c:v>832173.69760000007</c:v>
                </c:pt>
                <c:pt idx="3">
                  <c:v>845699.86560000002</c:v>
                </c:pt>
                <c:pt idx="4">
                  <c:v>757237.81280000007</c:v>
                </c:pt>
                <c:pt idx="5">
                  <c:v>835943.48829999997</c:v>
                </c:pt>
                <c:pt idx="6">
                  <c:v>834453.66819999996</c:v>
                </c:pt>
                <c:pt idx="7">
                  <c:v>848153.85629999998</c:v>
                </c:pt>
                <c:pt idx="8">
                  <c:v>868718.26509999996</c:v>
                </c:pt>
                <c:pt idx="9">
                  <c:v>743001.49359999993</c:v>
                </c:pt>
                <c:pt idx="10">
                  <c:v>0</c:v>
                </c:pt>
                <c:pt idx="11">
                  <c:v>779287.8905000001</c:v>
                </c:pt>
                <c:pt idx="12">
                  <c:v>879528.60930000013</c:v>
                </c:pt>
                <c:pt idx="13">
                  <c:v>894998.33239999996</c:v>
                </c:pt>
                <c:pt idx="14">
                  <c:v>857985.28079999995</c:v>
                </c:pt>
                <c:pt idx="15">
                  <c:v>911987.31129999994</c:v>
                </c:pt>
                <c:pt idx="16">
                  <c:v>929778.73199999996</c:v>
                </c:pt>
                <c:pt idx="17">
                  <c:v>914699.28125</c:v>
                </c:pt>
                <c:pt idx="18">
                  <c:v>924871.37</c:v>
                </c:pt>
                <c:pt idx="19">
                  <c:v>920175.87823000003</c:v>
                </c:pt>
                <c:pt idx="20">
                  <c:v>0</c:v>
                </c:pt>
                <c:pt idx="21">
                  <c:v>927635.18229999999</c:v>
                </c:pt>
                <c:pt idx="22">
                  <c:v>917586.72</c:v>
                </c:pt>
                <c:pt idx="23">
                  <c:v>814213.69140000001</c:v>
                </c:pt>
                <c:pt idx="24">
                  <c:v>879759.90891</c:v>
                </c:pt>
                <c:pt idx="25">
                  <c:v>855205.02289999998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39.13526994137645</c:v>
                </c:pt>
                <c:pt idx="2">
                  <c:v>43.996111236535889</c:v>
                </c:pt>
                <c:pt idx="3">
                  <c:v>44.078838234605847</c:v>
                </c:pt>
                <c:pt idx="4">
                  <c:v>44.337382156377075</c:v>
                </c:pt>
                <c:pt idx="5">
                  <c:v>43.742601833530856</c:v>
                </c:pt>
                <c:pt idx="6">
                  <c:v>43.780669416599054</c:v>
                </c:pt>
                <c:pt idx="7">
                  <c:v>44.724645187936694</c:v>
                </c:pt>
                <c:pt idx="8">
                  <c:v>45.585727567844927</c:v>
                </c:pt>
                <c:pt idx="9">
                  <c:v>39.829513333155091</c:v>
                </c:pt>
                <c:pt idx="10">
                  <c:v>0.1</c:v>
                </c:pt>
                <c:pt idx="11">
                  <c:v>45.176809954882003</c:v>
                </c:pt>
                <c:pt idx="12">
                  <c:v>46.533211695826175</c:v>
                </c:pt>
                <c:pt idx="13">
                  <c:v>47.078167388182564</c:v>
                </c:pt>
                <c:pt idx="14">
                  <c:v>47.189783910165637</c:v>
                </c:pt>
                <c:pt idx="15">
                  <c:v>48.705882422226836</c:v>
                </c:pt>
                <c:pt idx="16">
                  <c:v>48.934711990461835</c:v>
                </c:pt>
                <c:pt idx="17">
                  <c:v>48.263867921796177</c:v>
                </c:pt>
                <c:pt idx="18">
                  <c:v>48.677983496945721</c:v>
                </c:pt>
                <c:pt idx="19">
                  <c:v>49.134465612094274</c:v>
                </c:pt>
                <c:pt idx="20">
                  <c:v>0</c:v>
                </c:pt>
                <c:pt idx="21">
                  <c:v>48.915967325695824</c:v>
                </c:pt>
                <c:pt idx="22">
                  <c:v>48.000477082265299</c:v>
                </c:pt>
                <c:pt idx="23">
                  <c:v>47.939485502094634</c:v>
                </c:pt>
                <c:pt idx="24">
                  <c:v>46.092582137984039</c:v>
                </c:pt>
                <c:pt idx="25">
                  <c:v>45.667797040135341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'MENUDO EXCELL   I B P'!$N$8</c:f>
              <c:strCache>
                <c:ptCount val="1"/>
                <c:pt idx="0">
                  <c:v>DISTRIBUCION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P'!$N$9:$N$115</c:f>
              <c:numCache>
                <c:formatCode>General</c:formatCode>
                <c:ptCount val="107"/>
                <c:pt idx="0">
                  <c:v>27.22</c:v>
                </c:pt>
                <c:pt idx="1">
                  <c:v>27.22</c:v>
                </c:pt>
                <c:pt idx="2">
                  <c:v>27.22</c:v>
                </c:pt>
                <c:pt idx="3">
                  <c:v>27.22</c:v>
                </c:pt>
                <c:pt idx="4">
                  <c:v>27.22</c:v>
                </c:pt>
                <c:pt idx="5">
                  <c:v>27.22</c:v>
                </c:pt>
                <c:pt idx="6">
                  <c:v>27.22</c:v>
                </c:pt>
                <c:pt idx="7">
                  <c:v>27.22</c:v>
                </c:pt>
                <c:pt idx="8">
                  <c:v>27.22</c:v>
                </c:pt>
                <c:pt idx="9">
                  <c:v>27.22</c:v>
                </c:pt>
                <c:pt idx="10">
                  <c:v>27.22</c:v>
                </c:pt>
                <c:pt idx="11">
                  <c:v>27.22</c:v>
                </c:pt>
                <c:pt idx="12">
                  <c:v>27.22</c:v>
                </c:pt>
                <c:pt idx="13">
                  <c:v>27.22</c:v>
                </c:pt>
                <c:pt idx="14">
                  <c:v>27.22</c:v>
                </c:pt>
                <c:pt idx="15">
                  <c:v>27.22</c:v>
                </c:pt>
                <c:pt idx="16">
                  <c:v>27.22</c:v>
                </c:pt>
                <c:pt idx="17">
                  <c:v>27.22</c:v>
                </c:pt>
                <c:pt idx="18">
                  <c:v>27.22</c:v>
                </c:pt>
                <c:pt idx="19">
                  <c:v>27.22</c:v>
                </c:pt>
                <c:pt idx="20">
                  <c:v>27.22</c:v>
                </c:pt>
                <c:pt idx="21">
                  <c:v>27.22</c:v>
                </c:pt>
                <c:pt idx="22">
                  <c:v>27.22</c:v>
                </c:pt>
                <c:pt idx="23">
                  <c:v>27.22</c:v>
                </c:pt>
                <c:pt idx="24">
                  <c:v>27.22</c:v>
                </c:pt>
                <c:pt idx="25">
                  <c:v>27.22</c:v>
                </c:pt>
                <c:pt idx="26">
                  <c:v>27.22</c:v>
                </c:pt>
                <c:pt idx="27">
                  <c:v>27.22</c:v>
                </c:pt>
                <c:pt idx="28">
                  <c:v>27.22</c:v>
                </c:pt>
                <c:pt idx="29">
                  <c:v>27.22</c:v>
                </c:pt>
                <c:pt idx="30">
                  <c:v>27.22</c:v>
                </c:pt>
                <c:pt idx="31">
                  <c:v>27.22</c:v>
                </c:pt>
                <c:pt idx="32">
                  <c:v>27.22</c:v>
                </c:pt>
                <c:pt idx="33">
                  <c:v>27.22</c:v>
                </c:pt>
                <c:pt idx="34">
                  <c:v>27.22</c:v>
                </c:pt>
                <c:pt idx="35">
                  <c:v>27.22</c:v>
                </c:pt>
                <c:pt idx="36">
                  <c:v>27.22</c:v>
                </c:pt>
                <c:pt idx="37">
                  <c:v>27.22</c:v>
                </c:pt>
                <c:pt idx="38">
                  <c:v>27.22</c:v>
                </c:pt>
                <c:pt idx="39">
                  <c:v>27.22</c:v>
                </c:pt>
                <c:pt idx="40">
                  <c:v>27.22</c:v>
                </c:pt>
                <c:pt idx="41">
                  <c:v>27.22</c:v>
                </c:pt>
                <c:pt idx="42">
                  <c:v>27.22</c:v>
                </c:pt>
                <c:pt idx="43">
                  <c:v>27.22</c:v>
                </c:pt>
                <c:pt idx="44">
                  <c:v>27.22</c:v>
                </c:pt>
                <c:pt idx="45">
                  <c:v>27.22</c:v>
                </c:pt>
                <c:pt idx="46">
                  <c:v>27.22</c:v>
                </c:pt>
                <c:pt idx="47">
                  <c:v>27.22</c:v>
                </c:pt>
                <c:pt idx="48">
                  <c:v>27.22</c:v>
                </c:pt>
                <c:pt idx="49">
                  <c:v>27.22</c:v>
                </c:pt>
                <c:pt idx="50">
                  <c:v>27.22</c:v>
                </c:pt>
                <c:pt idx="51">
                  <c:v>27.22</c:v>
                </c:pt>
                <c:pt idx="52">
                  <c:v>27.22</c:v>
                </c:pt>
                <c:pt idx="53">
                  <c:v>27.22</c:v>
                </c:pt>
                <c:pt idx="54">
                  <c:v>27.22</c:v>
                </c:pt>
                <c:pt idx="55">
                  <c:v>27.22</c:v>
                </c:pt>
                <c:pt idx="56">
                  <c:v>27.22</c:v>
                </c:pt>
                <c:pt idx="57">
                  <c:v>27.22</c:v>
                </c:pt>
                <c:pt idx="58">
                  <c:v>27.22</c:v>
                </c:pt>
                <c:pt idx="59">
                  <c:v>27.22</c:v>
                </c:pt>
                <c:pt idx="60">
                  <c:v>27.22</c:v>
                </c:pt>
                <c:pt idx="61">
                  <c:v>27.22</c:v>
                </c:pt>
                <c:pt idx="62">
                  <c:v>27.22</c:v>
                </c:pt>
                <c:pt idx="63">
                  <c:v>27.22</c:v>
                </c:pt>
                <c:pt idx="64">
                  <c:v>27.22</c:v>
                </c:pt>
                <c:pt idx="65">
                  <c:v>27.22</c:v>
                </c:pt>
                <c:pt idx="66">
                  <c:v>27.22</c:v>
                </c:pt>
                <c:pt idx="67">
                  <c:v>27.22</c:v>
                </c:pt>
                <c:pt idx="68">
                  <c:v>27.22</c:v>
                </c:pt>
                <c:pt idx="69">
                  <c:v>27.22</c:v>
                </c:pt>
                <c:pt idx="70">
                  <c:v>27.22</c:v>
                </c:pt>
                <c:pt idx="71">
                  <c:v>27.22</c:v>
                </c:pt>
                <c:pt idx="72">
                  <c:v>27.22</c:v>
                </c:pt>
                <c:pt idx="73">
                  <c:v>27.22</c:v>
                </c:pt>
                <c:pt idx="74">
                  <c:v>27.22</c:v>
                </c:pt>
                <c:pt idx="75">
                  <c:v>27.22</c:v>
                </c:pt>
                <c:pt idx="76">
                  <c:v>27.22</c:v>
                </c:pt>
                <c:pt idx="77">
                  <c:v>27.22</c:v>
                </c:pt>
                <c:pt idx="78">
                  <c:v>27.22</c:v>
                </c:pt>
                <c:pt idx="79">
                  <c:v>27.22</c:v>
                </c:pt>
                <c:pt idx="80">
                  <c:v>27.22</c:v>
                </c:pt>
                <c:pt idx="81">
                  <c:v>27.22</c:v>
                </c:pt>
                <c:pt idx="82">
                  <c:v>27.22</c:v>
                </c:pt>
                <c:pt idx="83">
                  <c:v>27.22</c:v>
                </c:pt>
                <c:pt idx="84">
                  <c:v>27.22</c:v>
                </c:pt>
                <c:pt idx="85">
                  <c:v>27.22</c:v>
                </c:pt>
                <c:pt idx="86">
                  <c:v>27.22</c:v>
                </c:pt>
                <c:pt idx="87">
                  <c:v>27.22</c:v>
                </c:pt>
                <c:pt idx="88">
                  <c:v>27.22</c:v>
                </c:pt>
                <c:pt idx="89">
                  <c:v>27.22</c:v>
                </c:pt>
                <c:pt idx="90">
                  <c:v>27.22</c:v>
                </c:pt>
                <c:pt idx="91">
                  <c:v>27.22</c:v>
                </c:pt>
                <c:pt idx="92">
                  <c:v>27.22</c:v>
                </c:pt>
                <c:pt idx="93">
                  <c:v>27.22</c:v>
                </c:pt>
                <c:pt idx="94">
                  <c:v>27.22</c:v>
                </c:pt>
                <c:pt idx="95">
                  <c:v>27.22</c:v>
                </c:pt>
                <c:pt idx="96">
                  <c:v>27.22</c:v>
                </c:pt>
                <c:pt idx="97">
                  <c:v>27.22</c:v>
                </c:pt>
                <c:pt idx="98">
                  <c:v>27.22</c:v>
                </c:pt>
                <c:pt idx="99">
                  <c:v>27.22</c:v>
                </c:pt>
                <c:pt idx="100">
                  <c:v>27.22</c:v>
                </c:pt>
                <c:pt idx="101">
                  <c:v>27.22</c:v>
                </c:pt>
                <c:pt idx="102">
                  <c:v>27.22</c:v>
                </c:pt>
                <c:pt idx="103">
                  <c:v>27.22</c:v>
                </c:pt>
                <c:pt idx="104">
                  <c:v>27.22</c:v>
                </c:pt>
                <c:pt idx="105">
                  <c:v>27.22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52-4221-B61F-C1E6BBA0DD30}"/>
            </c:ext>
          </c:extLst>
        </c:ser>
        <c:ser>
          <c:idx val="1"/>
          <c:order val="1"/>
          <c:tx>
            <c:strRef>
              <c:f>'MENUDO EXCELL   I B P'!$O$8</c:f>
              <c:strCache>
                <c:ptCount val="1"/>
                <c:pt idx="0">
                  <c:v>BULTOS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P'!$O$9:$O$115</c:f>
              <c:numCache>
                <c:formatCode>General</c:formatCode>
                <c:ptCount val="107"/>
                <c:pt idx="1">
                  <c:v>24</c:v>
                </c:pt>
                <c:pt idx="2">
                  <c:v>2</c:v>
                </c:pt>
                <c:pt idx="3">
                  <c:v>10</c:v>
                </c:pt>
                <c:pt idx="4">
                  <c:v>24</c:v>
                </c:pt>
                <c:pt idx="5">
                  <c:v>24</c:v>
                </c:pt>
                <c:pt idx="6">
                  <c:v>5</c:v>
                </c:pt>
                <c:pt idx="7">
                  <c:v>3</c:v>
                </c:pt>
                <c:pt idx="8">
                  <c:v>1</c:v>
                </c:pt>
                <c:pt idx="106" formatCode="0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52-4221-B61F-C1E6BBA0DD30}"/>
            </c:ext>
          </c:extLst>
        </c:ser>
        <c:ser>
          <c:idx val="2"/>
          <c:order val="2"/>
          <c:tx>
            <c:strRef>
              <c:f>'MENUDO EXCELL   I B P'!$P$8</c:f>
              <c:strCache>
                <c:ptCount val="1"/>
                <c:pt idx="0">
                  <c:v>KILOS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P'!$P$9:$P$115</c:f>
              <c:numCache>
                <c:formatCode>0.00</c:formatCode>
                <c:ptCount val="107"/>
                <c:pt idx="0">
                  <c:v>0</c:v>
                </c:pt>
                <c:pt idx="1">
                  <c:v>653.28</c:v>
                </c:pt>
                <c:pt idx="2">
                  <c:v>54.44</c:v>
                </c:pt>
                <c:pt idx="3">
                  <c:v>272.2</c:v>
                </c:pt>
                <c:pt idx="4">
                  <c:v>653.28</c:v>
                </c:pt>
                <c:pt idx="5">
                  <c:v>653.28</c:v>
                </c:pt>
                <c:pt idx="6">
                  <c:v>136.1</c:v>
                </c:pt>
                <c:pt idx="7">
                  <c:v>81.66</c:v>
                </c:pt>
                <c:pt idx="8">
                  <c:v>27.22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2531.4599999999996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52-4221-B61F-C1E6BBA0DD30}"/>
            </c:ext>
          </c:extLst>
        </c:ser>
        <c:ser>
          <c:idx val="3"/>
          <c:order val="3"/>
          <c:tx>
            <c:strRef>
              <c:f>'MENUDO EXCELL   I B P'!$Q$8</c:f>
              <c:strCache>
                <c:ptCount val="1"/>
                <c:pt idx="0">
                  <c:v>FECHA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P'!$Q$9:$Q$115</c:f>
              <c:numCache>
                <c:formatCode>d\-mmm\-yy</c:formatCode>
                <c:ptCount val="107"/>
                <c:pt idx="0">
                  <c:v>0</c:v>
                </c:pt>
                <c:pt idx="1">
                  <c:v>45134</c:v>
                </c:pt>
                <c:pt idx="2">
                  <c:v>45134</c:v>
                </c:pt>
                <c:pt idx="3">
                  <c:v>45134</c:v>
                </c:pt>
                <c:pt idx="4">
                  <c:v>45135</c:v>
                </c:pt>
                <c:pt idx="5">
                  <c:v>45135</c:v>
                </c:pt>
                <c:pt idx="6">
                  <c:v>45136</c:v>
                </c:pt>
                <c:pt idx="7">
                  <c:v>45136</c:v>
                </c:pt>
                <c:pt idx="8">
                  <c:v>45136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52-4221-B61F-C1E6BBA0DD30}"/>
            </c:ext>
          </c:extLst>
        </c:ser>
        <c:ser>
          <c:idx val="4"/>
          <c:order val="4"/>
          <c:tx>
            <c:strRef>
              <c:f>'MENUDO EXCELL   I B P'!$R$8</c:f>
              <c:strCache>
                <c:ptCount val="1"/>
                <c:pt idx="0">
                  <c:v>SALIDA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P'!$R$9:$R$115</c:f>
              <c:numCache>
                <c:formatCode>0.00</c:formatCode>
                <c:ptCount val="107"/>
                <c:pt idx="0">
                  <c:v>0</c:v>
                </c:pt>
                <c:pt idx="1">
                  <c:v>653.28</c:v>
                </c:pt>
                <c:pt idx="2">
                  <c:v>54.44</c:v>
                </c:pt>
                <c:pt idx="3">
                  <c:v>272.2</c:v>
                </c:pt>
                <c:pt idx="4">
                  <c:v>653.28</c:v>
                </c:pt>
                <c:pt idx="5">
                  <c:v>653.28</c:v>
                </c:pt>
                <c:pt idx="6">
                  <c:v>136.1</c:v>
                </c:pt>
                <c:pt idx="7">
                  <c:v>81.66</c:v>
                </c:pt>
                <c:pt idx="8">
                  <c:v>27.22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2531.4599999999996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52-4221-B61F-C1E6BBA0DD30}"/>
            </c:ext>
          </c:extLst>
        </c:ser>
        <c:ser>
          <c:idx val="5"/>
          <c:order val="5"/>
          <c:tx>
            <c:strRef>
              <c:f>'MENUDO EXCELL   I B P'!$S$8</c:f>
              <c:strCache>
                <c:ptCount val="1"/>
                <c:pt idx="0">
                  <c:v>TRASP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P'!$S$9:$S$115</c:f>
              <c:numCache>
                <c:formatCode>General</c:formatCode>
                <c:ptCount val="10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52-4221-B61F-C1E6BBA0DD30}"/>
            </c:ext>
          </c:extLst>
        </c:ser>
        <c:ser>
          <c:idx val="6"/>
          <c:order val="6"/>
          <c:tx>
            <c:strRef>
              <c:f>'MENUDO EXCELL   I B P'!$T$8</c:f>
              <c:strCache>
                <c:ptCount val="1"/>
                <c:pt idx="0">
                  <c:v>PRECIO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P'!$T$9:$T$115</c:f>
              <c:numCache>
                <c:formatCode>"$"#,##0.00</c:formatCode>
                <c:ptCount val="107"/>
                <c:pt idx="0">
                  <c:v>0</c:v>
                </c:pt>
                <c:pt idx="1">
                  <c:v>79</c:v>
                </c:pt>
                <c:pt idx="2">
                  <c:v>79</c:v>
                </c:pt>
                <c:pt idx="3">
                  <c:v>79</c:v>
                </c:pt>
                <c:pt idx="4">
                  <c:v>79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752-4221-B61F-C1E6BBA0DD30}"/>
            </c:ext>
          </c:extLst>
        </c:ser>
        <c:ser>
          <c:idx val="7"/>
          <c:order val="7"/>
          <c:tx>
            <c:strRef>
              <c:f>'MENUDO EXCELL   I B P'!$U$8</c:f>
              <c:strCache>
                <c:ptCount val="1"/>
                <c:pt idx="0">
                  <c:v>EXISENCIA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P'!$U$9:$U$115</c:f>
              <c:numCache>
                <c:formatCode>#,##0.00</c:formatCode>
                <c:ptCount val="107"/>
                <c:pt idx="0">
                  <c:v>18468.600000000002</c:v>
                </c:pt>
                <c:pt idx="1">
                  <c:v>17815.320000000003</c:v>
                </c:pt>
                <c:pt idx="2">
                  <c:v>17760.880000000005</c:v>
                </c:pt>
                <c:pt idx="3">
                  <c:v>17488.680000000004</c:v>
                </c:pt>
                <c:pt idx="4">
                  <c:v>16835.400000000005</c:v>
                </c:pt>
                <c:pt idx="5">
                  <c:v>16182.120000000004</c:v>
                </c:pt>
                <c:pt idx="6">
                  <c:v>16046.020000000004</c:v>
                </c:pt>
                <c:pt idx="7">
                  <c:v>15964.360000000004</c:v>
                </c:pt>
                <c:pt idx="8">
                  <c:v>15937.140000000005</c:v>
                </c:pt>
                <c:pt idx="9">
                  <c:v>15937.140000000005</c:v>
                </c:pt>
                <c:pt idx="10">
                  <c:v>15937.140000000005</c:v>
                </c:pt>
                <c:pt idx="11">
                  <c:v>15937.140000000005</c:v>
                </c:pt>
                <c:pt idx="12">
                  <c:v>15937.140000000005</c:v>
                </c:pt>
                <c:pt idx="13">
                  <c:v>15937.140000000005</c:v>
                </c:pt>
                <c:pt idx="14">
                  <c:v>15937.140000000005</c:v>
                </c:pt>
                <c:pt idx="15">
                  <c:v>15937.140000000005</c:v>
                </c:pt>
                <c:pt idx="16">
                  <c:v>15937.140000000005</c:v>
                </c:pt>
                <c:pt idx="17">
                  <c:v>15937.140000000005</c:v>
                </c:pt>
                <c:pt idx="18">
                  <c:v>15937.140000000005</c:v>
                </c:pt>
                <c:pt idx="19">
                  <c:v>15937.140000000005</c:v>
                </c:pt>
                <c:pt idx="20">
                  <c:v>15937.140000000005</c:v>
                </c:pt>
                <c:pt idx="21">
                  <c:v>15937.140000000005</c:v>
                </c:pt>
                <c:pt idx="22">
                  <c:v>15937.140000000005</c:v>
                </c:pt>
                <c:pt idx="23">
                  <c:v>15937.140000000005</c:v>
                </c:pt>
                <c:pt idx="24">
                  <c:v>15937.140000000005</c:v>
                </c:pt>
                <c:pt idx="25">
                  <c:v>15937.140000000005</c:v>
                </c:pt>
                <c:pt idx="26">
                  <c:v>15937.140000000005</c:v>
                </c:pt>
                <c:pt idx="27">
                  <c:v>15937.140000000005</c:v>
                </c:pt>
                <c:pt idx="28">
                  <c:v>15937.140000000005</c:v>
                </c:pt>
                <c:pt idx="29">
                  <c:v>15937.140000000005</c:v>
                </c:pt>
                <c:pt idx="30">
                  <c:v>15937.140000000005</c:v>
                </c:pt>
                <c:pt idx="31">
                  <c:v>15937.140000000005</c:v>
                </c:pt>
                <c:pt idx="32">
                  <c:v>15937.140000000005</c:v>
                </c:pt>
                <c:pt idx="33">
                  <c:v>15937.140000000005</c:v>
                </c:pt>
                <c:pt idx="34">
                  <c:v>15937.140000000005</c:v>
                </c:pt>
                <c:pt idx="35">
                  <c:v>15937.140000000005</c:v>
                </c:pt>
                <c:pt idx="36">
                  <c:v>15937.140000000005</c:v>
                </c:pt>
                <c:pt idx="37">
                  <c:v>15937.140000000005</c:v>
                </c:pt>
                <c:pt idx="38">
                  <c:v>15937.140000000005</c:v>
                </c:pt>
                <c:pt idx="39">
                  <c:v>15937.140000000005</c:v>
                </c:pt>
                <c:pt idx="40">
                  <c:v>15937.140000000005</c:v>
                </c:pt>
                <c:pt idx="41">
                  <c:v>15937.140000000005</c:v>
                </c:pt>
                <c:pt idx="42">
                  <c:v>15937.140000000005</c:v>
                </c:pt>
                <c:pt idx="43">
                  <c:v>15937.140000000005</c:v>
                </c:pt>
                <c:pt idx="44">
                  <c:v>15937.140000000005</c:v>
                </c:pt>
                <c:pt idx="45">
                  <c:v>15937.140000000005</c:v>
                </c:pt>
                <c:pt idx="46">
                  <c:v>15937.140000000005</c:v>
                </c:pt>
                <c:pt idx="47">
                  <c:v>15937.140000000005</c:v>
                </c:pt>
                <c:pt idx="48">
                  <c:v>15937.140000000005</c:v>
                </c:pt>
                <c:pt idx="49">
                  <c:v>15937.140000000005</c:v>
                </c:pt>
                <c:pt idx="50">
                  <c:v>15937.140000000005</c:v>
                </c:pt>
                <c:pt idx="51">
                  <c:v>15937.140000000005</c:v>
                </c:pt>
                <c:pt idx="52">
                  <c:v>15937.140000000005</c:v>
                </c:pt>
                <c:pt idx="53">
                  <c:v>15937.140000000005</c:v>
                </c:pt>
                <c:pt idx="54">
                  <c:v>15937.140000000005</c:v>
                </c:pt>
                <c:pt idx="55">
                  <c:v>15937.140000000005</c:v>
                </c:pt>
                <c:pt idx="56">
                  <c:v>15937.140000000005</c:v>
                </c:pt>
                <c:pt idx="57">
                  <c:v>15937.140000000005</c:v>
                </c:pt>
                <c:pt idx="58">
                  <c:v>15937.140000000005</c:v>
                </c:pt>
                <c:pt idx="59">
                  <c:v>15937.140000000005</c:v>
                </c:pt>
                <c:pt idx="60">
                  <c:v>15937.140000000005</c:v>
                </c:pt>
                <c:pt idx="61">
                  <c:v>15937.140000000005</c:v>
                </c:pt>
                <c:pt idx="62">
                  <c:v>15937.140000000005</c:v>
                </c:pt>
                <c:pt idx="63">
                  <c:v>15937.140000000005</c:v>
                </c:pt>
                <c:pt idx="64">
                  <c:v>15937.140000000005</c:v>
                </c:pt>
                <c:pt idx="65">
                  <c:v>15937.140000000005</c:v>
                </c:pt>
                <c:pt idx="66">
                  <c:v>15937.140000000005</c:v>
                </c:pt>
                <c:pt idx="67">
                  <c:v>15937.140000000005</c:v>
                </c:pt>
                <c:pt idx="68">
                  <c:v>15937.140000000005</c:v>
                </c:pt>
                <c:pt idx="69">
                  <c:v>15937.140000000005</c:v>
                </c:pt>
                <c:pt idx="70">
                  <c:v>15937.140000000005</c:v>
                </c:pt>
                <c:pt idx="71">
                  <c:v>15937.140000000005</c:v>
                </c:pt>
                <c:pt idx="72">
                  <c:v>15937.140000000005</c:v>
                </c:pt>
                <c:pt idx="73">
                  <c:v>15937.140000000005</c:v>
                </c:pt>
                <c:pt idx="74">
                  <c:v>15937.140000000005</c:v>
                </c:pt>
                <c:pt idx="75">
                  <c:v>15937.140000000005</c:v>
                </c:pt>
                <c:pt idx="76">
                  <c:v>15937.140000000005</c:v>
                </c:pt>
                <c:pt idx="77">
                  <c:v>15937.140000000005</c:v>
                </c:pt>
                <c:pt idx="78">
                  <c:v>15937.140000000005</c:v>
                </c:pt>
                <c:pt idx="79">
                  <c:v>15937.140000000005</c:v>
                </c:pt>
                <c:pt idx="80">
                  <c:v>15937.140000000005</c:v>
                </c:pt>
                <c:pt idx="81">
                  <c:v>15937.140000000005</c:v>
                </c:pt>
                <c:pt idx="82">
                  <c:v>15937.140000000005</c:v>
                </c:pt>
                <c:pt idx="83">
                  <c:v>15937.140000000005</c:v>
                </c:pt>
                <c:pt idx="84">
                  <c:v>15937.140000000005</c:v>
                </c:pt>
                <c:pt idx="85">
                  <c:v>15937.140000000005</c:v>
                </c:pt>
                <c:pt idx="86">
                  <c:v>15937.140000000005</c:v>
                </c:pt>
                <c:pt idx="87">
                  <c:v>15937.140000000005</c:v>
                </c:pt>
                <c:pt idx="88">
                  <c:v>15937.140000000005</c:v>
                </c:pt>
                <c:pt idx="89">
                  <c:v>15937.140000000005</c:v>
                </c:pt>
                <c:pt idx="90">
                  <c:v>15937.140000000005</c:v>
                </c:pt>
                <c:pt idx="91">
                  <c:v>15937.140000000005</c:v>
                </c:pt>
                <c:pt idx="92">
                  <c:v>15937.140000000005</c:v>
                </c:pt>
                <c:pt idx="93">
                  <c:v>15937.140000000005</c:v>
                </c:pt>
                <c:pt idx="94">
                  <c:v>15937.140000000005</c:v>
                </c:pt>
                <c:pt idx="95">
                  <c:v>15937.140000000005</c:v>
                </c:pt>
                <c:pt idx="96">
                  <c:v>15937.140000000005</c:v>
                </c:pt>
                <c:pt idx="97">
                  <c:v>15937.140000000005</c:v>
                </c:pt>
                <c:pt idx="98">
                  <c:v>15937.140000000005</c:v>
                </c:pt>
                <c:pt idx="99">
                  <c:v>15937.140000000005</c:v>
                </c:pt>
                <c:pt idx="100">
                  <c:v>15937.140000000005</c:v>
                </c:pt>
                <c:pt idx="101">
                  <c:v>15937.140000000005</c:v>
                </c:pt>
                <c:pt idx="102">
                  <c:v>15937.140000000005</c:v>
                </c:pt>
                <c:pt idx="103">
                  <c:v>15937.140000000005</c:v>
                </c:pt>
                <c:pt idx="104">
                  <c:v>15937.140000000005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752-4221-B61F-C1E6BBA0DD30}"/>
            </c:ext>
          </c:extLst>
        </c:ser>
        <c:ser>
          <c:idx val="8"/>
          <c:order val="8"/>
          <c:tx>
            <c:strRef>
              <c:f>'MENUDO EXCELL   I B P'!$V$8</c:f>
              <c:strCache>
                <c:ptCount val="1"/>
                <c:pt idx="0">
                  <c:v>Piezas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P'!$V$9:$V$115</c:f>
              <c:numCache>
                <c:formatCode>General</c:formatCode>
                <c:ptCount val="107"/>
                <c:pt idx="0">
                  <c:v>679</c:v>
                </c:pt>
                <c:pt idx="1">
                  <c:v>655</c:v>
                </c:pt>
                <c:pt idx="2">
                  <c:v>653</c:v>
                </c:pt>
                <c:pt idx="3">
                  <c:v>643</c:v>
                </c:pt>
                <c:pt idx="4">
                  <c:v>619</c:v>
                </c:pt>
                <c:pt idx="5">
                  <c:v>595</c:v>
                </c:pt>
                <c:pt idx="6">
                  <c:v>590</c:v>
                </c:pt>
                <c:pt idx="7">
                  <c:v>587</c:v>
                </c:pt>
                <c:pt idx="8">
                  <c:v>586</c:v>
                </c:pt>
                <c:pt idx="9">
                  <c:v>586</c:v>
                </c:pt>
                <c:pt idx="10">
                  <c:v>586</c:v>
                </c:pt>
                <c:pt idx="11">
                  <c:v>586</c:v>
                </c:pt>
                <c:pt idx="12">
                  <c:v>586</c:v>
                </c:pt>
                <c:pt idx="13">
                  <c:v>586</c:v>
                </c:pt>
                <c:pt idx="14">
                  <c:v>586</c:v>
                </c:pt>
                <c:pt idx="15">
                  <c:v>586</c:v>
                </c:pt>
                <c:pt idx="16">
                  <c:v>586</c:v>
                </c:pt>
                <c:pt idx="17">
                  <c:v>586</c:v>
                </c:pt>
                <c:pt idx="18">
                  <c:v>586</c:v>
                </c:pt>
                <c:pt idx="19">
                  <c:v>586</c:v>
                </c:pt>
                <c:pt idx="20">
                  <c:v>586</c:v>
                </c:pt>
                <c:pt idx="21">
                  <c:v>586</c:v>
                </c:pt>
                <c:pt idx="22">
                  <c:v>586</c:v>
                </c:pt>
                <c:pt idx="23">
                  <c:v>586</c:v>
                </c:pt>
                <c:pt idx="24">
                  <c:v>586</c:v>
                </c:pt>
                <c:pt idx="25">
                  <c:v>586</c:v>
                </c:pt>
                <c:pt idx="26">
                  <c:v>586</c:v>
                </c:pt>
                <c:pt idx="27">
                  <c:v>586</c:v>
                </c:pt>
                <c:pt idx="28">
                  <c:v>586</c:v>
                </c:pt>
                <c:pt idx="29">
                  <c:v>586</c:v>
                </c:pt>
                <c:pt idx="30">
                  <c:v>586</c:v>
                </c:pt>
                <c:pt idx="31">
                  <c:v>586</c:v>
                </c:pt>
                <c:pt idx="32">
                  <c:v>586</c:v>
                </c:pt>
                <c:pt idx="33">
                  <c:v>586</c:v>
                </c:pt>
                <c:pt idx="34">
                  <c:v>586</c:v>
                </c:pt>
                <c:pt idx="35">
                  <c:v>586</c:v>
                </c:pt>
                <c:pt idx="36">
                  <c:v>586</c:v>
                </c:pt>
                <c:pt idx="37">
                  <c:v>586</c:v>
                </c:pt>
                <c:pt idx="38">
                  <c:v>586</c:v>
                </c:pt>
                <c:pt idx="39">
                  <c:v>586</c:v>
                </c:pt>
                <c:pt idx="40">
                  <c:v>586</c:v>
                </c:pt>
                <c:pt idx="41">
                  <c:v>586</c:v>
                </c:pt>
                <c:pt idx="42">
                  <c:v>586</c:v>
                </c:pt>
                <c:pt idx="43">
                  <c:v>586</c:v>
                </c:pt>
                <c:pt idx="44">
                  <c:v>586</c:v>
                </c:pt>
                <c:pt idx="45">
                  <c:v>586</c:v>
                </c:pt>
                <c:pt idx="46">
                  <c:v>586</c:v>
                </c:pt>
                <c:pt idx="47">
                  <c:v>586</c:v>
                </c:pt>
                <c:pt idx="48">
                  <c:v>586</c:v>
                </c:pt>
                <c:pt idx="49">
                  <c:v>586</c:v>
                </c:pt>
                <c:pt idx="50">
                  <c:v>586</c:v>
                </c:pt>
                <c:pt idx="51">
                  <c:v>586</c:v>
                </c:pt>
                <c:pt idx="52">
                  <c:v>586</c:v>
                </c:pt>
                <c:pt idx="53">
                  <c:v>586</c:v>
                </c:pt>
                <c:pt idx="54">
                  <c:v>586</c:v>
                </c:pt>
                <c:pt idx="55">
                  <c:v>586</c:v>
                </c:pt>
                <c:pt idx="56">
                  <c:v>586</c:v>
                </c:pt>
                <c:pt idx="57">
                  <c:v>586</c:v>
                </c:pt>
                <c:pt idx="58">
                  <c:v>586</c:v>
                </c:pt>
                <c:pt idx="59">
                  <c:v>586</c:v>
                </c:pt>
                <c:pt idx="60">
                  <c:v>586</c:v>
                </c:pt>
                <c:pt idx="61">
                  <c:v>586</c:v>
                </c:pt>
                <c:pt idx="62">
                  <c:v>586</c:v>
                </c:pt>
                <c:pt idx="63">
                  <c:v>586</c:v>
                </c:pt>
                <c:pt idx="64">
                  <c:v>586</c:v>
                </c:pt>
                <c:pt idx="65">
                  <c:v>586</c:v>
                </c:pt>
                <c:pt idx="66">
                  <c:v>586</c:v>
                </c:pt>
                <c:pt idx="67">
                  <c:v>586</c:v>
                </c:pt>
                <c:pt idx="68">
                  <c:v>586</c:v>
                </c:pt>
                <c:pt idx="69">
                  <c:v>586</c:v>
                </c:pt>
                <c:pt idx="70">
                  <c:v>586</c:v>
                </c:pt>
                <c:pt idx="71">
                  <c:v>586</c:v>
                </c:pt>
                <c:pt idx="72">
                  <c:v>586</c:v>
                </c:pt>
                <c:pt idx="73">
                  <c:v>586</c:v>
                </c:pt>
                <c:pt idx="74">
                  <c:v>586</c:v>
                </c:pt>
                <c:pt idx="75">
                  <c:v>586</c:v>
                </c:pt>
                <c:pt idx="76">
                  <c:v>586</c:v>
                </c:pt>
                <c:pt idx="77">
                  <c:v>586</c:v>
                </c:pt>
                <c:pt idx="78">
                  <c:v>586</c:v>
                </c:pt>
                <c:pt idx="79">
                  <c:v>586</c:v>
                </c:pt>
                <c:pt idx="80">
                  <c:v>586</c:v>
                </c:pt>
                <c:pt idx="81">
                  <c:v>586</c:v>
                </c:pt>
                <c:pt idx="82">
                  <c:v>586</c:v>
                </c:pt>
                <c:pt idx="83">
                  <c:v>586</c:v>
                </c:pt>
                <c:pt idx="84">
                  <c:v>586</c:v>
                </c:pt>
                <c:pt idx="85">
                  <c:v>586</c:v>
                </c:pt>
                <c:pt idx="86">
                  <c:v>586</c:v>
                </c:pt>
                <c:pt idx="87">
                  <c:v>586</c:v>
                </c:pt>
                <c:pt idx="88">
                  <c:v>586</c:v>
                </c:pt>
                <c:pt idx="89">
                  <c:v>586</c:v>
                </c:pt>
                <c:pt idx="90">
                  <c:v>586</c:v>
                </c:pt>
                <c:pt idx="91">
                  <c:v>586</c:v>
                </c:pt>
                <c:pt idx="92">
                  <c:v>586</c:v>
                </c:pt>
                <c:pt idx="93">
                  <c:v>586</c:v>
                </c:pt>
                <c:pt idx="94">
                  <c:v>586</c:v>
                </c:pt>
                <c:pt idx="95">
                  <c:v>586</c:v>
                </c:pt>
                <c:pt idx="96">
                  <c:v>586</c:v>
                </c:pt>
                <c:pt idx="97">
                  <c:v>586</c:v>
                </c:pt>
                <c:pt idx="98">
                  <c:v>586</c:v>
                </c:pt>
                <c:pt idx="99">
                  <c:v>586</c:v>
                </c:pt>
                <c:pt idx="100">
                  <c:v>586</c:v>
                </c:pt>
                <c:pt idx="101">
                  <c:v>586</c:v>
                </c:pt>
                <c:pt idx="102">
                  <c:v>586</c:v>
                </c:pt>
                <c:pt idx="103">
                  <c:v>586</c:v>
                </c:pt>
                <c:pt idx="104">
                  <c:v>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752-4221-B61F-C1E6BBA0DD30}"/>
            </c:ext>
          </c:extLst>
        </c:ser>
        <c:ser>
          <c:idx val="9"/>
          <c:order val="9"/>
          <c:tx>
            <c:strRef>
              <c:f>'MENUDO EXCELL   I B P'!$W$8</c:f>
              <c:strCache>
                <c:ptCount val="1"/>
                <c:pt idx="0">
                  <c:v>VALOR SALIDA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'MENUDO EXCELL   I B P'!$M$9:$M$115</c:f>
              <c:strCache>
                <c:ptCount val="105"/>
                <c:pt idx="0">
                  <c:v>fecha de sacrificio</c:v>
                </c:pt>
                <c:pt idx="3">
                  <c:v>fecha de Empaque/Embalaje</c:v>
                </c:pt>
                <c:pt idx="13">
                  <c:v>|</c:v>
                </c:pt>
                <c:pt idx="104">
                  <c:v>0</c:v>
                </c:pt>
              </c:strCache>
            </c:strRef>
          </c:cat>
          <c:val>
            <c:numRef>
              <c:f>'MENUDO EXCELL   I B P'!$W$9:$W$115</c:f>
              <c:numCache>
                <c:formatCode>"$"#,##0.00</c:formatCode>
                <c:ptCount val="107"/>
                <c:pt idx="0">
                  <c:v>0</c:v>
                </c:pt>
                <c:pt idx="1">
                  <c:v>51609.119999999995</c:v>
                </c:pt>
                <c:pt idx="2">
                  <c:v>4300.76</c:v>
                </c:pt>
                <c:pt idx="3">
                  <c:v>21503.8</c:v>
                </c:pt>
                <c:pt idx="4">
                  <c:v>51609.119999999995</c:v>
                </c:pt>
                <c:pt idx="5">
                  <c:v>51609.119999999995</c:v>
                </c:pt>
                <c:pt idx="6">
                  <c:v>10751.9</c:v>
                </c:pt>
                <c:pt idx="7">
                  <c:v>6451.1399999999994</c:v>
                </c:pt>
                <c:pt idx="8">
                  <c:v>2150.38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752-4221-B61F-C1E6BBA0DD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085336"/>
        <c:axId val="447085992"/>
      </c:barChart>
      <c:catAx>
        <c:axId val="44708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7085992"/>
        <c:crosses val="autoZero"/>
        <c:auto val="1"/>
        <c:lblAlgn val="ctr"/>
        <c:lblOffset val="100"/>
        <c:noMultiLvlLbl val="0"/>
      </c:catAx>
      <c:valAx>
        <c:axId val="447085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708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'FILETE  TILAPIA   '!$N$9:$N$11</c:f>
              <c:strCache>
                <c:ptCount val="3"/>
                <c:pt idx="0">
                  <c:v>DISTRIBUCION</c:v>
                </c:pt>
                <c:pt idx="1">
                  <c:v>4.54</c:v>
                </c:pt>
                <c:pt idx="2">
                  <c:v>4.54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'!$N$12:$N$110</c:f>
              <c:numCache>
                <c:formatCode>0.00</c:formatCode>
                <c:ptCount val="99"/>
                <c:pt idx="0">
                  <c:v>4.54</c:v>
                </c:pt>
                <c:pt idx="1">
                  <c:v>4.54</c:v>
                </c:pt>
                <c:pt idx="2">
                  <c:v>4.54</c:v>
                </c:pt>
                <c:pt idx="3">
                  <c:v>4.54</c:v>
                </c:pt>
                <c:pt idx="4">
                  <c:v>4.54</c:v>
                </c:pt>
                <c:pt idx="5">
                  <c:v>4.54</c:v>
                </c:pt>
                <c:pt idx="6">
                  <c:v>4.54</c:v>
                </c:pt>
                <c:pt idx="7">
                  <c:v>4.54</c:v>
                </c:pt>
                <c:pt idx="8">
                  <c:v>4.54</c:v>
                </c:pt>
                <c:pt idx="9">
                  <c:v>4.54</c:v>
                </c:pt>
                <c:pt idx="10">
                  <c:v>4.54</c:v>
                </c:pt>
                <c:pt idx="11">
                  <c:v>4.54</c:v>
                </c:pt>
                <c:pt idx="12">
                  <c:v>4.54</c:v>
                </c:pt>
                <c:pt idx="13">
                  <c:v>4.54</c:v>
                </c:pt>
                <c:pt idx="14">
                  <c:v>4.54</c:v>
                </c:pt>
                <c:pt idx="15">
                  <c:v>4.54</c:v>
                </c:pt>
                <c:pt idx="16">
                  <c:v>4.54</c:v>
                </c:pt>
                <c:pt idx="17">
                  <c:v>4.54</c:v>
                </c:pt>
                <c:pt idx="18">
                  <c:v>4.54</c:v>
                </c:pt>
                <c:pt idx="19">
                  <c:v>4.54</c:v>
                </c:pt>
                <c:pt idx="20">
                  <c:v>4.54</c:v>
                </c:pt>
                <c:pt idx="21">
                  <c:v>4.54</c:v>
                </c:pt>
                <c:pt idx="22">
                  <c:v>4.54</c:v>
                </c:pt>
                <c:pt idx="23">
                  <c:v>4.54</c:v>
                </c:pt>
                <c:pt idx="24">
                  <c:v>4.54</c:v>
                </c:pt>
                <c:pt idx="25">
                  <c:v>4.54</c:v>
                </c:pt>
                <c:pt idx="26">
                  <c:v>4.54</c:v>
                </c:pt>
                <c:pt idx="27">
                  <c:v>4.54</c:v>
                </c:pt>
                <c:pt idx="28">
                  <c:v>4.54</c:v>
                </c:pt>
                <c:pt idx="29">
                  <c:v>4.54</c:v>
                </c:pt>
                <c:pt idx="30">
                  <c:v>4.54</c:v>
                </c:pt>
                <c:pt idx="31">
                  <c:v>4.54</c:v>
                </c:pt>
                <c:pt idx="32">
                  <c:v>4.54</c:v>
                </c:pt>
                <c:pt idx="33">
                  <c:v>4.54</c:v>
                </c:pt>
                <c:pt idx="34">
                  <c:v>4.54</c:v>
                </c:pt>
                <c:pt idx="35">
                  <c:v>4.54</c:v>
                </c:pt>
                <c:pt idx="36">
                  <c:v>4.54</c:v>
                </c:pt>
                <c:pt idx="37">
                  <c:v>4.54</c:v>
                </c:pt>
                <c:pt idx="38">
                  <c:v>4.54</c:v>
                </c:pt>
                <c:pt idx="39">
                  <c:v>4.54</c:v>
                </c:pt>
                <c:pt idx="40">
                  <c:v>4.54</c:v>
                </c:pt>
                <c:pt idx="41">
                  <c:v>4.54</c:v>
                </c:pt>
                <c:pt idx="42">
                  <c:v>4.54</c:v>
                </c:pt>
                <c:pt idx="43">
                  <c:v>4.54</c:v>
                </c:pt>
                <c:pt idx="44">
                  <c:v>4.54</c:v>
                </c:pt>
                <c:pt idx="45">
                  <c:v>4.54</c:v>
                </c:pt>
                <c:pt idx="46">
                  <c:v>4.54</c:v>
                </c:pt>
                <c:pt idx="47">
                  <c:v>4.54</c:v>
                </c:pt>
                <c:pt idx="48">
                  <c:v>4.54</c:v>
                </c:pt>
                <c:pt idx="49">
                  <c:v>4.54</c:v>
                </c:pt>
                <c:pt idx="50">
                  <c:v>4.54</c:v>
                </c:pt>
                <c:pt idx="51">
                  <c:v>4.54</c:v>
                </c:pt>
                <c:pt idx="52">
                  <c:v>4.54</c:v>
                </c:pt>
                <c:pt idx="53">
                  <c:v>4.54</c:v>
                </c:pt>
                <c:pt idx="54">
                  <c:v>4.54</c:v>
                </c:pt>
                <c:pt idx="55">
                  <c:v>4.54</c:v>
                </c:pt>
                <c:pt idx="56">
                  <c:v>4.54</c:v>
                </c:pt>
                <c:pt idx="57">
                  <c:v>4.54</c:v>
                </c:pt>
                <c:pt idx="58">
                  <c:v>4.54</c:v>
                </c:pt>
                <c:pt idx="59">
                  <c:v>4.54</c:v>
                </c:pt>
                <c:pt idx="60">
                  <c:v>4.54</c:v>
                </c:pt>
                <c:pt idx="61">
                  <c:v>4.54</c:v>
                </c:pt>
                <c:pt idx="62">
                  <c:v>4.54</c:v>
                </c:pt>
                <c:pt idx="63">
                  <c:v>4.54</c:v>
                </c:pt>
                <c:pt idx="64">
                  <c:v>4.54</c:v>
                </c:pt>
                <c:pt idx="65">
                  <c:v>4.54</c:v>
                </c:pt>
                <c:pt idx="66">
                  <c:v>4.54</c:v>
                </c:pt>
                <c:pt idx="67">
                  <c:v>4.54</c:v>
                </c:pt>
                <c:pt idx="68">
                  <c:v>4.54</c:v>
                </c:pt>
                <c:pt idx="69">
                  <c:v>4.54</c:v>
                </c:pt>
                <c:pt idx="70">
                  <c:v>4.54</c:v>
                </c:pt>
                <c:pt idx="71">
                  <c:v>4.54</c:v>
                </c:pt>
                <c:pt idx="72">
                  <c:v>4.54</c:v>
                </c:pt>
                <c:pt idx="73">
                  <c:v>4.54</c:v>
                </c:pt>
                <c:pt idx="74">
                  <c:v>4.54</c:v>
                </c:pt>
                <c:pt idx="75">
                  <c:v>4.54</c:v>
                </c:pt>
                <c:pt idx="76">
                  <c:v>4.54</c:v>
                </c:pt>
                <c:pt idx="77">
                  <c:v>4.54</c:v>
                </c:pt>
                <c:pt idx="78">
                  <c:v>4.54</c:v>
                </c:pt>
                <c:pt idx="79">
                  <c:v>4.54</c:v>
                </c:pt>
                <c:pt idx="80">
                  <c:v>4.54</c:v>
                </c:pt>
                <c:pt idx="81">
                  <c:v>4.54</c:v>
                </c:pt>
                <c:pt idx="82">
                  <c:v>4.54</c:v>
                </c:pt>
                <c:pt idx="83">
                  <c:v>4.54</c:v>
                </c:pt>
                <c:pt idx="84">
                  <c:v>4.54</c:v>
                </c:pt>
                <c:pt idx="85">
                  <c:v>4.54</c:v>
                </c:pt>
                <c:pt idx="86">
                  <c:v>4.54</c:v>
                </c:pt>
                <c:pt idx="87">
                  <c:v>4.54</c:v>
                </c:pt>
                <c:pt idx="88">
                  <c:v>4.54</c:v>
                </c:pt>
                <c:pt idx="89">
                  <c:v>4.54</c:v>
                </c:pt>
                <c:pt idx="90">
                  <c:v>4.54</c:v>
                </c:pt>
                <c:pt idx="91">
                  <c:v>4.54</c:v>
                </c:pt>
                <c:pt idx="92">
                  <c:v>4.54</c:v>
                </c:pt>
                <c:pt idx="93">
                  <c:v>4.54</c:v>
                </c:pt>
                <c:pt idx="94">
                  <c:v>4.54</c:v>
                </c:pt>
                <c:pt idx="95">
                  <c:v>4.54</c:v>
                </c:pt>
                <c:pt idx="96">
                  <c:v>4.54</c:v>
                </c:pt>
                <c:pt idx="97">
                  <c:v>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74-4DC6-BBF0-1FB2C42F50A2}"/>
            </c:ext>
          </c:extLst>
        </c:ser>
        <c:ser>
          <c:idx val="1"/>
          <c:order val="1"/>
          <c:tx>
            <c:strRef>
              <c:f>'FILETE  TILAPIA   '!$O$9:$O$11</c:f>
              <c:strCache>
                <c:ptCount val="3"/>
                <c:pt idx="0">
                  <c:v>BULTOS</c:v>
                </c:pt>
                <c:pt idx="1">
                  <c:v>34</c:v>
                </c:pt>
                <c:pt idx="2">
                  <c:v>30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'!$O$12:$O$110</c:f>
              <c:numCache>
                <c:formatCode>General</c:formatCode>
                <c:ptCount val="99"/>
                <c:pt idx="0">
                  <c:v>25</c:v>
                </c:pt>
                <c:pt idx="1">
                  <c:v>30</c:v>
                </c:pt>
                <c:pt idx="2">
                  <c:v>20</c:v>
                </c:pt>
                <c:pt idx="3">
                  <c:v>50</c:v>
                </c:pt>
                <c:pt idx="4">
                  <c:v>5</c:v>
                </c:pt>
                <c:pt idx="5">
                  <c:v>50</c:v>
                </c:pt>
                <c:pt idx="6">
                  <c:v>50</c:v>
                </c:pt>
                <c:pt idx="7">
                  <c:v>30</c:v>
                </c:pt>
                <c:pt idx="8">
                  <c:v>4</c:v>
                </c:pt>
                <c:pt idx="9">
                  <c:v>1</c:v>
                </c:pt>
                <c:pt idx="10">
                  <c:v>30</c:v>
                </c:pt>
                <c:pt idx="11">
                  <c:v>25</c:v>
                </c:pt>
                <c:pt idx="12">
                  <c:v>6</c:v>
                </c:pt>
                <c:pt idx="13">
                  <c:v>30</c:v>
                </c:pt>
                <c:pt idx="14">
                  <c:v>13</c:v>
                </c:pt>
                <c:pt idx="15">
                  <c:v>4</c:v>
                </c:pt>
                <c:pt idx="16">
                  <c:v>50</c:v>
                </c:pt>
                <c:pt idx="17">
                  <c:v>24</c:v>
                </c:pt>
                <c:pt idx="18">
                  <c:v>2</c:v>
                </c:pt>
                <c:pt idx="19">
                  <c:v>40</c:v>
                </c:pt>
                <c:pt idx="20">
                  <c:v>30</c:v>
                </c:pt>
                <c:pt idx="21">
                  <c:v>30</c:v>
                </c:pt>
                <c:pt idx="22">
                  <c:v>5</c:v>
                </c:pt>
                <c:pt idx="23">
                  <c:v>50</c:v>
                </c:pt>
                <c:pt idx="24">
                  <c:v>48</c:v>
                </c:pt>
                <c:pt idx="25">
                  <c:v>5</c:v>
                </c:pt>
                <c:pt idx="26">
                  <c:v>70</c:v>
                </c:pt>
                <c:pt idx="27">
                  <c:v>40</c:v>
                </c:pt>
                <c:pt idx="28">
                  <c:v>5</c:v>
                </c:pt>
                <c:pt idx="29">
                  <c:v>30</c:v>
                </c:pt>
                <c:pt idx="30">
                  <c:v>1</c:v>
                </c:pt>
                <c:pt idx="31">
                  <c:v>3</c:v>
                </c:pt>
                <c:pt idx="32">
                  <c:v>30</c:v>
                </c:pt>
                <c:pt idx="33">
                  <c:v>40</c:v>
                </c:pt>
                <c:pt idx="34">
                  <c:v>12</c:v>
                </c:pt>
                <c:pt idx="35">
                  <c:v>48</c:v>
                </c:pt>
                <c:pt idx="36">
                  <c:v>2</c:v>
                </c:pt>
                <c:pt idx="37">
                  <c:v>5</c:v>
                </c:pt>
                <c:pt idx="98">
                  <c:v>1007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74-4DC6-BBF0-1FB2C42F50A2}"/>
            </c:ext>
          </c:extLst>
        </c:ser>
        <c:ser>
          <c:idx val="2"/>
          <c:order val="2"/>
          <c:tx>
            <c:strRef>
              <c:f>'FILETE  TILAPIA   '!$P$9:$P$11</c:f>
              <c:strCache>
                <c:ptCount val="3"/>
                <c:pt idx="0">
                  <c:v>KILOS</c:v>
                </c:pt>
                <c:pt idx="1">
                  <c:v>154.36</c:v>
                </c:pt>
                <c:pt idx="2">
                  <c:v>136.20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'!$P$12:$P$110</c:f>
              <c:numCache>
                <c:formatCode>0.00</c:formatCode>
                <c:ptCount val="99"/>
                <c:pt idx="0">
                  <c:v>113.5</c:v>
                </c:pt>
                <c:pt idx="1">
                  <c:v>136.19999999999999</c:v>
                </c:pt>
                <c:pt idx="2">
                  <c:v>90.8</c:v>
                </c:pt>
                <c:pt idx="3">
                  <c:v>227</c:v>
                </c:pt>
                <c:pt idx="4">
                  <c:v>22.7</c:v>
                </c:pt>
                <c:pt idx="5">
                  <c:v>227</c:v>
                </c:pt>
                <c:pt idx="6">
                  <c:v>227</c:v>
                </c:pt>
                <c:pt idx="7">
                  <c:v>136.19999999999999</c:v>
                </c:pt>
                <c:pt idx="8">
                  <c:v>18.16</c:v>
                </c:pt>
                <c:pt idx="9">
                  <c:v>4.54</c:v>
                </c:pt>
                <c:pt idx="10">
                  <c:v>136.19999999999999</c:v>
                </c:pt>
                <c:pt idx="11">
                  <c:v>113.5</c:v>
                </c:pt>
                <c:pt idx="12">
                  <c:v>27.240000000000002</c:v>
                </c:pt>
                <c:pt idx="13">
                  <c:v>136.19999999999999</c:v>
                </c:pt>
                <c:pt idx="14">
                  <c:v>59.02</c:v>
                </c:pt>
                <c:pt idx="15">
                  <c:v>18.16</c:v>
                </c:pt>
                <c:pt idx="16">
                  <c:v>227</c:v>
                </c:pt>
                <c:pt idx="17">
                  <c:v>108.96000000000001</c:v>
                </c:pt>
                <c:pt idx="18">
                  <c:v>9.08</c:v>
                </c:pt>
                <c:pt idx="19">
                  <c:v>181.6</c:v>
                </c:pt>
                <c:pt idx="20">
                  <c:v>136.19999999999999</c:v>
                </c:pt>
                <c:pt idx="21">
                  <c:v>136.19999999999999</c:v>
                </c:pt>
                <c:pt idx="22">
                  <c:v>22.7</c:v>
                </c:pt>
                <c:pt idx="23">
                  <c:v>227</c:v>
                </c:pt>
                <c:pt idx="24">
                  <c:v>217.92000000000002</c:v>
                </c:pt>
                <c:pt idx="25">
                  <c:v>22.7</c:v>
                </c:pt>
                <c:pt idx="26">
                  <c:v>317.8</c:v>
                </c:pt>
                <c:pt idx="27">
                  <c:v>181.6</c:v>
                </c:pt>
                <c:pt idx="28">
                  <c:v>22.7</c:v>
                </c:pt>
                <c:pt idx="29">
                  <c:v>136.19999999999999</c:v>
                </c:pt>
                <c:pt idx="30">
                  <c:v>4.54</c:v>
                </c:pt>
                <c:pt idx="31">
                  <c:v>13.620000000000001</c:v>
                </c:pt>
                <c:pt idx="32">
                  <c:v>136.19999999999999</c:v>
                </c:pt>
                <c:pt idx="33">
                  <c:v>181.6</c:v>
                </c:pt>
                <c:pt idx="34">
                  <c:v>54.480000000000004</c:v>
                </c:pt>
                <c:pt idx="35">
                  <c:v>217.92000000000002</c:v>
                </c:pt>
                <c:pt idx="36">
                  <c:v>9.08</c:v>
                </c:pt>
                <c:pt idx="37">
                  <c:v>22.7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4571.7799999999988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74-4DC6-BBF0-1FB2C42F50A2}"/>
            </c:ext>
          </c:extLst>
        </c:ser>
        <c:ser>
          <c:idx val="3"/>
          <c:order val="3"/>
          <c:tx>
            <c:strRef>
              <c:f>'FILETE  TILAPIA   '!$Q$9:$Q$11</c:f>
              <c:strCache>
                <c:ptCount val="3"/>
                <c:pt idx="0">
                  <c:v>FECHA</c:v>
                </c:pt>
                <c:pt idx="1">
                  <c:v>03-jul.-23</c:v>
                </c:pt>
                <c:pt idx="2">
                  <c:v>04-jul.-23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'!$Q$12:$Q$110</c:f>
              <c:numCache>
                <c:formatCode>[$-C0A]dd\-mmm\-yy;@</c:formatCode>
                <c:ptCount val="99"/>
                <c:pt idx="0">
                  <c:v>45111</c:v>
                </c:pt>
                <c:pt idx="1">
                  <c:v>45112</c:v>
                </c:pt>
                <c:pt idx="2">
                  <c:v>45113</c:v>
                </c:pt>
                <c:pt idx="3">
                  <c:v>45114</c:v>
                </c:pt>
                <c:pt idx="4">
                  <c:v>45115</c:v>
                </c:pt>
                <c:pt idx="5">
                  <c:v>45115</c:v>
                </c:pt>
                <c:pt idx="6">
                  <c:v>45115</c:v>
                </c:pt>
                <c:pt idx="7">
                  <c:v>45117</c:v>
                </c:pt>
                <c:pt idx="8">
                  <c:v>45118</c:v>
                </c:pt>
                <c:pt idx="9">
                  <c:v>45118</c:v>
                </c:pt>
                <c:pt idx="10">
                  <c:v>45119</c:v>
                </c:pt>
                <c:pt idx="11">
                  <c:v>45120</c:v>
                </c:pt>
                <c:pt idx="12">
                  <c:v>45120</c:v>
                </c:pt>
                <c:pt idx="13">
                  <c:v>45121</c:v>
                </c:pt>
                <c:pt idx="14">
                  <c:v>45121</c:v>
                </c:pt>
                <c:pt idx="15">
                  <c:v>45121</c:v>
                </c:pt>
                <c:pt idx="16">
                  <c:v>45122</c:v>
                </c:pt>
                <c:pt idx="17">
                  <c:v>45122</c:v>
                </c:pt>
                <c:pt idx="18">
                  <c:v>45122</c:v>
                </c:pt>
                <c:pt idx="19">
                  <c:v>45124</c:v>
                </c:pt>
                <c:pt idx="20">
                  <c:v>45125</c:v>
                </c:pt>
                <c:pt idx="21">
                  <c:v>45126</c:v>
                </c:pt>
                <c:pt idx="22">
                  <c:v>45126</c:v>
                </c:pt>
                <c:pt idx="23">
                  <c:v>45128</c:v>
                </c:pt>
                <c:pt idx="24">
                  <c:v>45128</c:v>
                </c:pt>
                <c:pt idx="25">
                  <c:v>45128</c:v>
                </c:pt>
                <c:pt idx="26">
                  <c:v>45129</c:v>
                </c:pt>
                <c:pt idx="27">
                  <c:v>45131</c:v>
                </c:pt>
                <c:pt idx="28">
                  <c:v>45131</c:v>
                </c:pt>
                <c:pt idx="29">
                  <c:v>45132</c:v>
                </c:pt>
                <c:pt idx="30">
                  <c:v>45132</c:v>
                </c:pt>
                <c:pt idx="31">
                  <c:v>45133</c:v>
                </c:pt>
                <c:pt idx="32">
                  <c:v>45134</c:v>
                </c:pt>
                <c:pt idx="33">
                  <c:v>45135</c:v>
                </c:pt>
                <c:pt idx="34">
                  <c:v>45136</c:v>
                </c:pt>
                <c:pt idx="35">
                  <c:v>45136</c:v>
                </c:pt>
                <c:pt idx="36">
                  <c:v>45136</c:v>
                </c:pt>
                <c:pt idx="37">
                  <c:v>45136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74-4DC6-BBF0-1FB2C42F50A2}"/>
            </c:ext>
          </c:extLst>
        </c:ser>
        <c:ser>
          <c:idx val="4"/>
          <c:order val="4"/>
          <c:tx>
            <c:strRef>
              <c:f>'FILETE  TILAPIA   '!$R$9:$R$11</c:f>
              <c:strCache>
                <c:ptCount val="3"/>
                <c:pt idx="0">
                  <c:v>SALIDA</c:v>
                </c:pt>
                <c:pt idx="1">
                  <c:v>154.36</c:v>
                </c:pt>
                <c:pt idx="2">
                  <c:v>136.20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'!$R$12:$R$110</c:f>
              <c:numCache>
                <c:formatCode>0.00</c:formatCode>
                <c:ptCount val="99"/>
                <c:pt idx="0">
                  <c:v>113.5</c:v>
                </c:pt>
                <c:pt idx="1">
                  <c:v>136.19999999999999</c:v>
                </c:pt>
                <c:pt idx="2">
                  <c:v>90.8</c:v>
                </c:pt>
                <c:pt idx="3">
                  <c:v>227</c:v>
                </c:pt>
                <c:pt idx="4">
                  <c:v>22.7</c:v>
                </c:pt>
                <c:pt idx="5">
                  <c:v>227</c:v>
                </c:pt>
                <c:pt idx="6">
                  <c:v>227</c:v>
                </c:pt>
                <c:pt idx="7">
                  <c:v>136.19999999999999</c:v>
                </c:pt>
                <c:pt idx="8">
                  <c:v>18.16</c:v>
                </c:pt>
                <c:pt idx="9">
                  <c:v>4.54</c:v>
                </c:pt>
                <c:pt idx="10">
                  <c:v>136.19999999999999</c:v>
                </c:pt>
                <c:pt idx="11">
                  <c:v>113.5</c:v>
                </c:pt>
                <c:pt idx="12">
                  <c:v>27.240000000000002</c:v>
                </c:pt>
                <c:pt idx="13">
                  <c:v>136.19999999999999</c:v>
                </c:pt>
                <c:pt idx="14">
                  <c:v>59.02</c:v>
                </c:pt>
                <c:pt idx="15">
                  <c:v>18.16</c:v>
                </c:pt>
                <c:pt idx="16">
                  <c:v>227</c:v>
                </c:pt>
                <c:pt idx="17">
                  <c:v>108.96000000000001</c:v>
                </c:pt>
                <c:pt idx="18">
                  <c:v>9.08</c:v>
                </c:pt>
                <c:pt idx="19">
                  <c:v>181.6</c:v>
                </c:pt>
                <c:pt idx="20">
                  <c:v>136.19999999999999</c:v>
                </c:pt>
                <c:pt idx="21">
                  <c:v>136.19999999999999</c:v>
                </c:pt>
                <c:pt idx="22">
                  <c:v>22.7</c:v>
                </c:pt>
                <c:pt idx="23">
                  <c:v>227</c:v>
                </c:pt>
                <c:pt idx="24">
                  <c:v>217.92000000000002</c:v>
                </c:pt>
                <c:pt idx="25">
                  <c:v>22.7</c:v>
                </c:pt>
                <c:pt idx="26">
                  <c:v>317.8</c:v>
                </c:pt>
                <c:pt idx="27">
                  <c:v>181.6</c:v>
                </c:pt>
                <c:pt idx="28">
                  <c:v>22.7</c:v>
                </c:pt>
                <c:pt idx="29">
                  <c:v>136.19999999999999</c:v>
                </c:pt>
                <c:pt idx="30">
                  <c:v>4.54</c:v>
                </c:pt>
                <c:pt idx="31">
                  <c:v>13.620000000000001</c:v>
                </c:pt>
                <c:pt idx="32">
                  <c:v>136.19999999999999</c:v>
                </c:pt>
                <c:pt idx="33">
                  <c:v>181.6</c:v>
                </c:pt>
                <c:pt idx="34">
                  <c:v>54.480000000000004</c:v>
                </c:pt>
                <c:pt idx="35">
                  <c:v>217.92000000000002</c:v>
                </c:pt>
                <c:pt idx="36">
                  <c:v>9.08</c:v>
                </c:pt>
                <c:pt idx="37">
                  <c:v>22.7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4571.7799999999988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74-4DC6-BBF0-1FB2C42F50A2}"/>
            </c:ext>
          </c:extLst>
        </c:ser>
        <c:ser>
          <c:idx val="5"/>
          <c:order val="5"/>
          <c:tx>
            <c:strRef>
              <c:f>'FILETE  TILAPIA   '!$S$9:$S$11</c:f>
              <c:strCache>
                <c:ptCount val="3"/>
                <c:pt idx="0">
                  <c:v>TRASPS</c:v>
                </c:pt>
                <c:pt idx="1">
                  <c:v>0326 D1</c:v>
                </c:pt>
                <c:pt idx="2">
                  <c:v>0337 D1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'!$S$12:$S$110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74-4DC6-BBF0-1FB2C42F50A2}"/>
            </c:ext>
          </c:extLst>
        </c:ser>
        <c:ser>
          <c:idx val="6"/>
          <c:order val="6"/>
          <c:tx>
            <c:strRef>
              <c:f>'FILETE  TILAPIA   '!$T$9:$T$11</c:f>
              <c:strCache>
                <c:ptCount val="3"/>
                <c:pt idx="0">
                  <c:v>TRASPS</c:v>
                </c:pt>
                <c:pt idx="1">
                  <c:v>$50.00</c:v>
                </c:pt>
                <c:pt idx="2">
                  <c:v>$50.00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'!$T$12:$T$110</c:f>
              <c:numCache>
                <c:formatCode>"$"#,##0.00</c:formatCode>
                <c:ptCount val="99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43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74-4DC6-BBF0-1FB2C42F50A2}"/>
            </c:ext>
          </c:extLst>
        </c:ser>
        <c:ser>
          <c:idx val="7"/>
          <c:order val="7"/>
          <c:tx>
            <c:strRef>
              <c:f>'FILETE  TILAPIA   '!$U$9:$U$11</c:f>
              <c:strCache>
                <c:ptCount val="3"/>
                <c:pt idx="0">
                  <c:v>EXISTENCIA</c:v>
                </c:pt>
                <c:pt idx="1">
                  <c:v>6,060.90</c:v>
                </c:pt>
                <c:pt idx="2">
                  <c:v>5,924.70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'!$U$12:$U$110</c:f>
              <c:numCache>
                <c:formatCode>#,##0.00</c:formatCode>
                <c:ptCount val="99"/>
                <c:pt idx="0">
                  <c:v>5811.2000000000007</c:v>
                </c:pt>
                <c:pt idx="1">
                  <c:v>5675.0000000000009</c:v>
                </c:pt>
                <c:pt idx="2">
                  <c:v>5584.2000000000007</c:v>
                </c:pt>
                <c:pt idx="3">
                  <c:v>5357.2000000000007</c:v>
                </c:pt>
                <c:pt idx="4">
                  <c:v>5334.5000000000009</c:v>
                </c:pt>
                <c:pt idx="5">
                  <c:v>5107.5000000000009</c:v>
                </c:pt>
                <c:pt idx="6">
                  <c:v>4880.5000000000009</c:v>
                </c:pt>
                <c:pt idx="7">
                  <c:v>4744.3000000000011</c:v>
                </c:pt>
                <c:pt idx="8">
                  <c:v>4726.1400000000012</c:v>
                </c:pt>
                <c:pt idx="9">
                  <c:v>4721.6000000000013</c:v>
                </c:pt>
                <c:pt idx="10">
                  <c:v>4585.4000000000015</c:v>
                </c:pt>
                <c:pt idx="11">
                  <c:v>4471.9000000000015</c:v>
                </c:pt>
                <c:pt idx="12">
                  <c:v>4444.6600000000017</c:v>
                </c:pt>
                <c:pt idx="13">
                  <c:v>4308.4600000000019</c:v>
                </c:pt>
                <c:pt idx="14">
                  <c:v>4249.4400000000014</c:v>
                </c:pt>
                <c:pt idx="15">
                  <c:v>4231.2800000000016</c:v>
                </c:pt>
                <c:pt idx="16">
                  <c:v>4004.2800000000016</c:v>
                </c:pt>
                <c:pt idx="17">
                  <c:v>3895.3200000000015</c:v>
                </c:pt>
                <c:pt idx="18">
                  <c:v>3886.2400000000016</c:v>
                </c:pt>
                <c:pt idx="19">
                  <c:v>3704.6400000000017</c:v>
                </c:pt>
                <c:pt idx="20">
                  <c:v>3568.4400000000019</c:v>
                </c:pt>
                <c:pt idx="21">
                  <c:v>3432.2400000000021</c:v>
                </c:pt>
                <c:pt idx="22">
                  <c:v>3409.5400000000022</c:v>
                </c:pt>
                <c:pt idx="23">
                  <c:v>3182.5400000000022</c:v>
                </c:pt>
                <c:pt idx="24">
                  <c:v>2964.6200000000022</c:v>
                </c:pt>
                <c:pt idx="25">
                  <c:v>2941.9200000000023</c:v>
                </c:pt>
                <c:pt idx="26">
                  <c:v>2624.1200000000022</c:v>
                </c:pt>
                <c:pt idx="27">
                  <c:v>2442.5200000000023</c:v>
                </c:pt>
                <c:pt idx="28">
                  <c:v>2419.8200000000024</c:v>
                </c:pt>
                <c:pt idx="29">
                  <c:v>2283.6200000000026</c:v>
                </c:pt>
                <c:pt idx="30">
                  <c:v>2279.0800000000027</c:v>
                </c:pt>
                <c:pt idx="31">
                  <c:v>2265.4600000000028</c:v>
                </c:pt>
                <c:pt idx="32">
                  <c:v>2129.2600000000029</c:v>
                </c:pt>
                <c:pt idx="33">
                  <c:v>1947.660000000003</c:v>
                </c:pt>
                <c:pt idx="34">
                  <c:v>1893.180000000003</c:v>
                </c:pt>
                <c:pt idx="35">
                  <c:v>1675.2600000000029</c:v>
                </c:pt>
                <c:pt idx="36">
                  <c:v>1666.180000000003</c:v>
                </c:pt>
                <c:pt idx="37">
                  <c:v>1643.480000000003</c:v>
                </c:pt>
                <c:pt idx="38">
                  <c:v>1643.480000000003</c:v>
                </c:pt>
                <c:pt idx="39">
                  <c:v>1643.480000000003</c:v>
                </c:pt>
                <c:pt idx="40">
                  <c:v>1643.480000000003</c:v>
                </c:pt>
                <c:pt idx="41">
                  <c:v>1643.480000000003</c:v>
                </c:pt>
                <c:pt idx="42">
                  <c:v>1643.480000000003</c:v>
                </c:pt>
                <c:pt idx="43">
                  <c:v>1643.480000000003</c:v>
                </c:pt>
                <c:pt idx="44">
                  <c:v>1643.480000000003</c:v>
                </c:pt>
                <c:pt idx="45">
                  <c:v>1643.480000000003</c:v>
                </c:pt>
                <c:pt idx="46">
                  <c:v>1643.480000000003</c:v>
                </c:pt>
                <c:pt idx="47">
                  <c:v>1643.480000000003</c:v>
                </c:pt>
                <c:pt idx="48">
                  <c:v>1643.480000000003</c:v>
                </c:pt>
                <c:pt idx="49">
                  <c:v>1643.480000000003</c:v>
                </c:pt>
                <c:pt idx="50">
                  <c:v>1643.480000000003</c:v>
                </c:pt>
                <c:pt idx="51">
                  <c:v>1643.480000000003</c:v>
                </c:pt>
                <c:pt idx="52">
                  <c:v>1643.480000000003</c:v>
                </c:pt>
                <c:pt idx="53">
                  <c:v>1643.480000000003</c:v>
                </c:pt>
                <c:pt idx="54">
                  <c:v>1643.480000000003</c:v>
                </c:pt>
                <c:pt idx="55">
                  <c:v>1643.480000000003</c:v>
                </c:pt>
                <c:pt idx="56">
                  <c:v>1643.480000000003</c:v>
                </c:pt>
                <c:pt idx="57">
                  <c:v>1643.480000000003</c:v>
                </c:pt>
                <c:pt idx="58">
                  <c:v>1643.480000000003</c:v>
                </c:pt>
                <c:pt idx="59">
                  <c:v>1643.480000000003</c:v>
                </c:pt>
                <c:pt idx="60">
                  <c:v>1643.480000000003</c:v>
                </c:pt>
                <c:pt idx="61">
                  <c:v>1643.480000000003</c:v>
                </c:pt>
                <c:pt idx="62">
                  <c:v>1643.480000000003</c:v>
                </c:pt>
                <c:pt idx="63">
                  <c:v>1643.480000000003</c:v>
                </c:pt>
                <c:pt idx="64">
                  <c:v>1643.480000000003</c:v>
                </c:pt>
                <c:pt idx="65">
                  <c:v>1643.480000000003</c:v>
                </c:pt>
                <c:pt idx="66">
                  <c:v>1643.480000000003</c:v>
                </c:pt>
                <c:pt idx="67">
                  <c:v>1643.480000000003</c:v>
                </c:pt>
                <c:pt idx="68">
                  <c:v>1643.480000000003</c:v>
                </c:pt>
                <c:pt idx="69">
                  <c:v>1643.480000000003</c:v>
                </c:pt>
                <c:pt idx="70">
                  <c:v>1643.480000000003</c:v>
                </c:pt>
                <c:pt idx="71">
                  <c:v>1643.480000000003</c:v>
                </c:pt>
                <c:pt idx="72">
                  <c:v>1643.480000000003</c:v>
                </c:pt>
                <c:pt idx="73">
                  <c:v>1643.480000000003</c:v>
                </c:pt>
                <c:pt idx="74">
                  <c:v>1643.480000000003</c:v>
                </c:pt>
                <c:pt idx="75">
                  <c:v>1643.480000000003</c:v>
                </c:pt>
                <c:pt idx="76">
                  <c:v>1643.480000000003</c:v>
                </c:pt>
                <c:pt idx="77">
                  <c:v>1643.480000000003</c:v>
                </c:pt>
                <c:pt idx="78">
                  <c:v>1643.480000000003</c:v>
                </c:pt>
                <c:pt idx="79">
                  <c:v>1643.480000000003</c:v>
                </c:pt>
                <c:pt idx="80">
                  <c:v>1643.480000000003</c:v>
                </c:pt>
                <c:pt idx="81">
                  <c:v>1643.480000000003</c:v>
                </c:pt>
                <c:pt idx="82">
                  <c:v>1643.480000000003</c:v>
                </c:pt>
                <c:pt idx="83">
                  <c:v>1643.480000000003</c:v>
                </c:pt>
                <c:pt idx="84">
                  <c:v>1643.480000000003</c:v>
                </c:pt>
                <c:pt idx="85">
                  <c:v>1643.480000000003</c:v>
                </c:pt>
                <c:pt idx="86">
                  <c:v>1643.480000000003</c:v>
                </c:pt>
                <c:pt idx="87">
                  <c:v>1643.480000000003</c:v>
                </c:pt>
                <c:pt idx="88">
                  <c:v>1643.480000000003</c:v>
                </c:pt>
                <c:pt idx="89">
                  <c:v>1643.480000000003</c:v>
                </c:pt>
                <c:pt idx="90">
                  <c:v>1643.480000000003</c:v>
                </c:pt>
                <c:pt idx="91">
                  <c:v>1643.480000000003</c:v>
                </c:pt>
                <c:pt idx="92">
                  <c:v>1643.480000000003</c:v>
                </c:pt>
                <c:pt idx="93">
                  <c:v>1643.480000000003</c:v>
                </c:pt>
                <c:pt idx="94">
                  <c:v>1643.480000000003</c:v>
                </c:pt>
                <c:pt idx="95">
                  <c:v>1643.480000000003</c:v>
                </c:pt>
                <c:pt idx="96">
                  <c:v>1643.480000000003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74-4DC6-BBF0-1FB2C42F50A2}"/>
            </c:ext>
          </c:extLst>
        </c:ser>
        <c:ser>
          <c:idx val="8"/>
          <c:order val="8"/>
          <c:tx>
            <c:strRef>
              <c:f>'FILETE  TILAPIA   '!$V$9:$V$11</c:f>
              <c:strCache>
                <c:ptCount val="3"/>
                <c:pt idx="0">
                  <c:v>EXISTENCIA</c:v>
                </c:pt>
                <c:pt idx="1">
                  <c:v>1335</c:v>
                </c:pt>
                <c:pt idx="2">
                  <c:v>1305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'!$V$12:$V$110</c:f>
              <c:numCache>
                <c:formatCode>General</c:formatCode>
                <c:ptCount val="99"/>
                <c:pt idx="0">
                  <c:v>1280</c:v>
                </c:pt>
                <c:pt idx="1">
                  <c:v>1250</c:v>
                </c:pt>
                <c:pt idx="2">
                  <c:v>1230</c:v>
                </c:pt>
                <c:pt idx="3">
                  <c:v>1180</c:v>
                </c:pt>
                <c:pt idx="4">
                  <c:v>1175</c:v>
                </c:pt>
                <c:pt idx="5">
                  <c:v>1125</c:v>
                </c:pt>
                <c:pt idx="6">
                  <c:v>1075</c:v>
                </c:pt>
                <c:pt idx="7">
                  <c:v>1045</c:v>
                </c:pt>
                <c:pt idx="8">
                  <c:v>1041</c:v>
                </c:pt>
                <c:pt idx="9">
                  <c:v>1040</c:v>
                </c:pt>
                <c:pt idx="10">
                  <c:v>1010</c:v>
                </c:pt>
                <c:pt idx="11">
                  <c:v>985</c:v>
                </c:pt>
                <c:pt idx="12">
                  <c:v>979</c:v>
                </c:pt>
                <c:pt idx="13">
                  <c:v>949</c:v>
                </c:pt>
                <c:pt idx="14">
                  <c:v>936</c:v>
                </c:pt>
                <c:pt idx="15">
                  <c:v>932</c:v>
                </c:pt>
                <c:pt idx="16">
                  <c:v>882</c:v>
                </c:pt>
                <c:pt idx="17">
                  <c:v>858</c:v>
                </c:pt>
                <c:pt idx="18">
                  <c:v>856</c:v>
                </c:pt>
                <c:pt idx="19">
                  <c:v>816</c:v>
                </c:pt>
                <c:pt idx="20">
                  <c:v>786</c:v>
                </c:pt>
                <c:pt idx="21">
                  <c:v>756</c:v>
                </c:pt>
                <c:pt idx="22">
                  <c:v>751</c:v>
                </c:pt>
                <c:pt idx="23">
                  <c:v>701</c:v>
                </c:pt>
                <c:pt idx="24">
                  <c:v>653</c:v>
                </c:pt>
                <c:pt idx="25">
                  <c:v>648</c:v>
                </c:pt>
                <c:pt idx="26">
                  <c:v>578</c:v>
                </c:pt>
                <c:pt idx="27">
                  <c:v>538</c:v>
                </c:pt>
                <c:pt idx="28">
                  <c:v>533</c:v>
                </c:pt>
                <c:pt idx="29">
                  <c:v>503</c:v>
                </c:pt>
                <c:pt idx="30">
                  <c:v>502</c:v>
                </c:pt>
                <c:pt idx="31">
                  <c:v>499</c:v>
                </c:pt>
                <c:pt idx="32">
                  <c:v>469</c:v>
                </c:pt>
                <c:pt idx="33">
                  <c:v>429</c:v>
                </c:pt>
                <c:pt idx="34">
                  <c:v>417</c:v>
                </c:pt>
                <c:pt idx="35">
                  <c:v>369</c:v>
                </c:pt>
                <c:pt idx="36">
                  <c:v>367</c:v>
                </c:pt>
                <c:pt idx="37">
                  <c:v>362</c:v>
                </c:pt>
                <c:pt idx="38">
                  <c:v>362</c:v>
                </c:pt>
                <c:pt idx="39">
                  <c:v>362</c:v>
                </c:pt>
                <c:pt idx="40">
                  <c:v>362</c:v>
                </c:pt>
                <c:pt idx="41">
                  <c:v>362</c:v>
                </c:pt>
                <c:pt idx="42">
                  <c:v>362</c:v>
                </c:pt>
                <c:pt idx="43">
                  <c:v>362</c:v>
                </c:pt>
                <c:pt idx="44">
                  <c:v>362</c:v>
                </c:pt>
                <c:pt idx="45">
                  <c:v>362</c:v>
                </c:pt>
                <c:pt idx="46">
                  <c:v>362</c:v>
                </c:pt>
                <c:pt idx="47">
                  <c:v>362</c:v>
                </c:pt>
                <c:pt idx="48">
                  <c:v>362</c:v>
                </c:pt>
                <c:pt idx="49">
                  <c:v>362</c:v>
                </c:pt>
                <c:pt idx="50">
                  <c:v>362</c:v>
                </c:pt>
                <c:pt idx="51">
                  <c:v>362</c:v>
                </c:pt>
                <c:pt idx="52">
                  <c:v>362</c:v>
                </c:pt>
                <c:pt idx="53">
                  <c:v>362</c:v>
                </c:pt>
                <c:pt idx="54">
                  <c:v>362</c:v>
                </c:pt>
                <c:pt idx="55">
                  <c:v>362</c:v>
                </c:pt>
                <c:pt idx="56">
                  <c:v>362</c:v>
                </c:pt>
                <c:pt idx="57">
                  <c:v>362</c:v>
                </c:pt>
                <c:pt idx="58">
                  <c:v>362</c:v>
                </c:pt>
                <c:pt idx="59">
                  <c:v>362</c:v>
                </c:pt>
                <c:pt idx="60">
                  <c:v>362</c:v>
                </c:pt>
                <c:pt idx="61">
                  <c:v>362</c:v>
                </c:pt>
                <c:pt idx="62">
                  <c:v>362</c:v>
                </c:pt>
                <c:pt idx="63">
                  <c:v>362</c:v>
                </c:pt>
                <c:pt idx="64">
                  <c:v>362</c:v>
                </c:pt>
                <c:pt idx="65">
                  <c:v>362</c:v>
                </c:pt>
                <c:pt idx="66">
                  <c:v>362</c:v>
                </c:pt>
                <c:pt idx="67">
                  <c:v>362</c:v>
                </c:pt>
                <c:pt idx="68">
                  <c:v>362</c:v>
                </c:pt>
                <c:pt idx="69">
                  <c:v>362</c:v>
                </c:pt>
                <c:pt idx="70">
                  <c:v>362</c:v>
                </c:pt>
                <c:pt idx="71">
                  <c:v>362</c:v>
                </c:pt>
                <c:pt idx="72">
                  <c:v>362</c:v>
                </c:pt>
                <c:pt idx="73">
                  <c:v>362</c:v>
                </c:pt>
                <c:pt idx="74">
                  <c:v>362</c:v>
                </c:pt>
                <c:pt idx="75">
                  <c:v>362</c:v>
                </c:pt>
                <c:pt idx="76">
                  <c:v>362</c:v>
                </c:pt>
                <c:pt idx="77">
                  <c:v>362</c:v>
                </c:pt>
                <c:pt idx="78">
                  <c:v>362</c:v>
                </c:pt>
                <c:pt idx="79">
                  <c:v>362</c:v>
                </c:pt>
                <c:pt idx="80">
                  <c:v>362</c:v>
                </c:pt>
                <c:pt idx="81">
                  <c:v>362</c:v>
                </c:pt>
                <c:pt idx="82">
                  <c:v>362</c:v>
                </c:pt>
                <c:pt idx="83">
                  <c:v>362</c:v>
                </c:pt>
                <c:pt idx="84">
                  <c:v>362</c:v>
                </c:pt>
                <c:pt idx="85">
                  <c:v>362</c:v>
                </c:pt>
                <c:pt idx="86">
                  <c:v>362</c:v>
                </c:pt>
                <c:pt idx="87">
                  <c:v>362</c:v>
                </c:pt>
                <c:pt idx="88">
                  <c:v>362</c:v>
                </c:pt>
                <c:pt idx="89">
                  <c:v>362</c:v>
                </c:pt>
                <c:pt idx="90">
                  <c:v>362</c:v>
                </c:pt>
                <c:pt idx="91">
                  <c:v>362</c:v>
                </c:pt>
                <c:pt idx="92">
                  <c:v>362</c:v>
                </c:pt>
                <c:pt idx="93">
                  <c:v>362</c:v>
                </c:pt>
                <c:pt idx="94">
                  <c:v>362</c:v>
                </c:pt>
                <c:pt idx="95">
                  <c:v>362</c:v>
                </c:pt>
                <c:pt idx="96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F74-4DC6-BBF0-1FB2C42F50A2}"/>
            </c:ext>
          </c:extLst>
        </c:ser>
        <c:ser>
          <c:idx val="9"/>
          <c:order val="9"/>
          <c:tx>
            <c:strRef>
              <c:f>'FILETE  TILAPIA   '!$W$9:$W$11</c:f>
              <c:strCache>
                <c:ptCount val="3"/>
                <c:pt idx="0">
                  <c:v>EXISTENCIA</c:v>
                </c:pt>
                <c:pt idx="1">
                  <c:v>$7,718.00</c:v>
                </c:pt>
                <c:pt idx="2">
                  <c:v>$6,810.00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'FILETE  TILAPIA   '!$M$12:$M$110</c:f>
              <c:strCache>
                <c:ptCount val="4"/>
                <c:pt idx="0">
                  <c:v>fecha de sacrificio</c:v>
                </c:pt>
                <c:pt idx="3">
                  <c:v>fecha de Empaque/Embalaje</c:v>
                </c:pt>
              </c:strCache>
            </c:strRef>
          </c:cat>
          <c:val>
            <c:numRef>
              <c:f>'FILETE  TILAPIA   '!$W$12:$W$110</c:f>
              <c:numCache>
                <c:formatCode>"$"#,##0.00</c:formatCode>
                <c:ptCount val="99"/>
                <c:pt idx="0">
                  <c:v>5675</c:v>
                </c:pt>
                <c:pt idx="1">
                  <c:v>6809.9999999999991</c:v>
                </c:pt>
                <c:pt idx="2">
                  <c:v>4540</c:v>
                </c:pt>
                <c:pt idx="3">
                  <c:v>11350</c:v>
                </c:pt>
                <c:pt idx="4">
                  <c:v>1135</c:v>
                </c:pt>
                <c:pt idx="5">
                  <c:v>11350</c:v>
                </c:pt>
                <c:pt idx="6">
                  <c:v>11350</c:v>
                </c:pt>
                <c:pt idx="7">
                  <c:v>6809.9999999999991</c:v>
                </c:pt>
                <c:pt idx="8">
                  <c:v>908</c:v>
                </c:pt>
                <c:pt idx="9">
                  <c:v>195.22</c:v>
                </c:pt>
                <c:pt idx="10">
                  <c:v>6809.9999999999991</c:v>
                </c:pt>
                <c:pt idx="11">
                  <c:v>5675</c:v>
                </c:pt>
                <c:pt idx="12">
                  <c:v>1362</c:v>
                </c:pt>
                <c:pt idx="13">
                  <c:v>6809.9999999999991</c:v>
                </c:pt>
                <c:pt idx="14">
                  <c:v>2951</c:v>
                </c:pt>
                <c:pt idx="15">
                  <c:v>908</c:v>
                </c:pt>
                <c:pt idx="16">
                  <c:v>11350</c:v>
                </c:pt>
                <c:pt idx="17">
                  <c:v>5448</c:v>
                </c:pt>
                <c:pt idx="18">
                  <c:v>454</c:v>
                </c:pt>
                <c:pt idx="19">
                  <c:v>9080</c:v>
                </c:pt>
                <c:pt idx="20">
                  <c:v>6809.9999999999991</c:v>
                </c:pt>
                <c:pt idx="21">
                  <c:v>6809.9999999999991</c:v>
                </c:pt>
                <c:pt idx="22">
                  <c:v>1135</c:v>
                </c:pt>
                <c:pt idx="23">
                  <c:v>11350</c:v>
                </c:pt>
                <c:pt idx="24">
                  <c:v>10896</c:v>
                </c:pt>
                <c:pt idx="25">
                  <c:v>1135</c:v>
                </c:pt>
                <c:pt idx="26">
                  <c:v>15890</c:v>
                </c:pt>
                <c:pt idx="27">
                  <c:v>9080</c:v>
                </c:pt>
                <c:pt idx="28">
                  <c:v>1135</c:v>
                </c:pt>
                <c:pt idx="29">
                  <c:v>6809.9999999999991</c:v>
                </c:pt>
                <c:pt idx="30">
                  <c:v>227</c:v>
                </c:pt>
                <c:pt idx="31">
                  <c:v>681</c:v>
                </c:pt>
                <c:pt idx="32">
                  <c:v>6809.9999999999991</c:v>
                </c:pt>
                <c:pt idx="33">
                  <c:v>9080</c:v>
                </c:pt>
                <c:pt idx="34">
                  <c:v>2724</c:v>
                </c:pt>
                <c:pt idx="35">
                  <c:v>10896</c:v>
                </c:pt>
                <c:pt idx="36">
                  <c:v>454</c:v>
                </c:pt>
                <c:pt idx="37">
                  <c:v>1135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74-4DC6-BBF0-1FB2C42F50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418848"/>
        <c:axId val="448419504"/>
      </c:barChart>
      <c:catAx>
        <c:axId val="44841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8419504"/>
        <c:crosses val="autoZero"/>
        <c:auto val="1"/>
        <c:lblAlgn val="ctr"/>
        <c:lblOffset val="100"/>
        <c:noMultiLvlLbl val="0"/>
      </c:catAx>
      <c:valAx>
        <c:axId val="44841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8418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9040" cy="625928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9040" cy="6259286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9"/>
  <sheetViews>
    <sheetView tabSelected="1" zoomScaleNormal="100" workbookViewId="0">
      <pane xSplit="1" ySplit="2" topLeftCell="C18" activePane="bottomRight" state="frozen"/>
      <selection pane="topRight" activeCell="B1" sqref="B1"/>
      <selection pane="bottomLeft" activeCell="A3" sqref="A3"/>
      <selection pane="bottomRight" activeCell="K24" sqref="K2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3" style="878" bestFit="1" customWidth="1"/>
    <col min="7" max="7" width="7.28515625" style="12" customWidth="1"/>
    <col min="8" max="8" width="14.7109375" style="878" bestFit="1" customWidth="1"/>
    <col min="9" max="9" width="14.140625" style="74" customWidth="1"/>
    <col min="10" max="10" width="15.140625" style="125" customWidth="1"/>
    <col min="11" max="11" width="19" bestFit="1" customWidth="1"/>
    <col min="12" max="12" width="16.28515625" style="539" customWidth="1"/>
    <col min="13" max="13" width="16.85546875" bestFit="1" customWidth="1"/>
    <col min="14" max="14" width="16" style="684" customWidth="1"/>
    <col min="15" max="15" width="16.28515625" style="1029" customWidth="1"/>
    <col min="16" max="16" width="15.5703125" style="373" bestFit="1" customWidth="1"/>
    <col min="17" max="17" width="20.85546875" style="363" bestFit="1" customWidth="1"/>
    <col min="18" max="18" width="15.42578125" style="438" customWidth="1"/>
    <col min="19" max="19" width="16.140625" style="404" bestFit="1" customWidth="1"/>
    <col min="20" max="20" width="11" style="404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131" t="s">
        <v>308</v>
      </c>
      <c r="C1" s="458"/>
      <c r="D1" s="459"/>
      <c r="E1" s="460"/>
      <c r="F1" s="858"/>
      <c r="G1" s="461"/>
      <c r="H1" s="858"/>
      <c r="I1" s="462"/>
      <c r="J1" s="463"/>
      <c r="K1" s="1638" t="s">
        <v>26</v>
      </c>
      <c r="L1" s="533"/>
      <c r="M1" s="1640" t="s">
        <v>27</v>
      </c>
      <c r="N1" s="678"/>
      <c r="P1" s="776" t="s">
        <v>38</v>
      </c>
      <c r="Q1" s="1636" t="s">
        <v>28</v>
      </c>
      <c r="R1" s="540"/>
    </row>
    <row r="2" spans="1:29" ht="24.75" customHeight="1" thickTop="1" thickBot="1" x14ac:dyDescent="0.3">
      <c r="A2" s="34"/>
      <c r="B2" s="354" t="s">
        <v>0</v>
      </c>
      <c r="C2" s="257" t="s">
        <v>10</v>
      </c>
      <c r="D2" s="25"/>
      <c r="E2" s="411" t="s">
        <v>25</v>
      </c>
      <c r="F2" s="859" t="s">
        <v>3</v>
      </c>
      <c r="G2" s="66" t="s">
        <v>8</v>
      </c>
      <c r="H2" s="879" t="s">
        <v>5</v>
      </c>
      <c r="I2" s="256" t="s">
        <v>6</v>
      </c>
      <c r="K2" s="1639"/>
      <c r="L2" s="534" t="s">
        <v>29</v>
      </c>
      <c r="M2" s="1641"/>
      <c r="N2" s="679" t="s">
        <v>29</v>
      </c>
      <c r="O2" s="1030" t="s">
        <v>30</v>
      </c>
      <c r="P2" s="777" t="s">
        <v>39</v>
      </c>
      <c r="Q2" s="1637"/>
      <c r="R2" s="55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2">
        <f>PIERNA!E3</f>
        <v>0</v>
      </c>
      <c r="F3" s="860">
        <f>PIERNA!F3</f>
        <v>0</v>
      </c>
      <c r="G3" s="97">
        <f>PIERNA!G3</f>
        <v>0</v>
      </c>
      <c r="H3" s="880">
        <f>PIERNA!H3</f>
        <v>0</v>
      </c>
      <c r="I3" s="102">
        <f>PIERNA!I3</f>
        <v>0</v>
      </c>
      <c r="J3" s="285"/>
      <c r="K3" s="105"/>
      <c r="L3" s="535"/>
      <c r="M3" s="338"/>
      <c r="N3" s="678"/>
      <c r="O3" s="1031"/>
      <c r="P3" s="373"/>
      <c r="Q3" s="230"/>
      <c r="R3" s="541"/>
      <c r="S3" s="903">
        <f t="shared" ref="S3:S31" si="0">Q3+M3+K3+P3</f>
        <v>0</v>
      </c>
      <c r="T3" s="903" t="e">
        <f>S3/H3</f>
        <v>#DIV/0!</v>
      </c>
    </row>
    <row r="4" spans="1:29" s="148" customFormat="1" ht="35.25" customHeight="1" x14ac:dyDescent="0.3">
      <c r="A4" s="97">
        <v>1</v>
      </c>
      <c r="B4" s="1132" t="str">
        <f>PIERNA!B4</f>
        <v>SAM FARMS LLC</v>
      </c>
      <c r="C4" s="772" t="str">
        <f>PIERNA!C4</f>
        <v>I B P</v>
      </c>
      <c r="D4" s="1383" t="str">
        <f>PIERNA!D4</f>
        <v>PED. 100014029</v>
      </c>
      <c r="E4" s="1384">
        <f>PIERNA!E4</f>
        <v>45107</v>
      </c>
      <c r="F4" s="861">
        <f>PIERNA!F4</f>
        <v>18900.48</v>
      </c>
      <c r="G4" s="355">
        <f>PIERNA!G4</f>
        <v>20</v>
      </c>
      <c r="H4" s="881">
        <f>PIERNA!H4</f>
        <v>18934.669999999998</v>
      </c>
      <c r="I4" s="558">
        <f>PIERNA!I4</f>
        <v>-34.18999999999869</v>
      </c>
      <c r="J4" s="700"/>
      <c r="K4" s="601"/>
      <c r="L4" s="614"/>
      <c r="M4" s="601"/>
      <c r="N4" s="604"/>
      <c r="O4" s="1232"/>
      <c r="P4" s="470"/>
      <c r="Q4" s="470"/>
      <c r="R4" s="606"/>
      <c r="S4" s="903">
        <f>Q4</f>
        <v>0</v>
      </c>
      <c r="T4" s="903">
        <f>S4/H4</f>
        <v>0</v>
      </c>
      <c r="U4" s="200"/>
    </row>
    <row r="5" spans="1:29" s="148" customFormat="1" ht="30" customHeight="1" x14ac:dyDescent="0.25">
      <c r="A5" s="97">
        <v>2</v>
      </c>
      <c r="B5" s="511" t="str">
        <f>PIERNA!B5</f>
        <v>IDEAL TRADING FOODS</v>
      </c>
      <c r="C5" s="256" t="str">
        <f>PIERNA!C5</f>
        <v>SIOUX</v>
      </c>
      <c r="D5" s="509" t="str">
        <f>PIERNA!D5</f>
        <v>PED. 100127466</v>
      </c>
      <c r="E5" s="510">
        <f>PIERNA!E5</f>
        <v>45111</v>
      </c>
      <c r="F5" s="861">
        <f>PIERNA!F5</f>
        <v>18730.89</v>
      </c>
      <c r="G5" s="355">
        <f>PIERNA!G5</f>
        <v>23</v>
      </c>
      <c r="H5" s="881">
        <f>PIERNA!H5</f>
        <v>18678.5</v>
      </c>
      <c r="I5" s="558">
        <f>PIERNA!I5</f>
        <v>52.389999999999418</v>
      </c>
      <c r="J5" s="1240" t="s">
        <v>356</v>
      </c>
      <c r="K5" s="360">
        <v>12274</v>
      </c>
      <c r="L5" s="614" t="s">
        <v>421</v>
      </c>
      <c r="M5" s="601">
        <v>37120</v>
      </c>
      <c r="N5" s="604" t="s">
        <v>408</v>
      </c>
      <c r="O5" s="1232">
        <v>203072</v>
      </c>
      <c r="P5" s="470">
        <v>4292</v>
      </c>
      <c r="Q5" s="470">
        <f>39533.76*17.085</f>
        <v>675434.28960000002</v>
      </c>
      <c r="R5" s="606" t="s">
        <v>407</v>
      </c>
      <c r="S5" s="903">
        <f>Q5+M5+K5+P5</f>
        <v>729120.28960000002</v>
      </c>
      <c r="T5" s="903">
        <f>S5/H5+0.1</f>
        <v>39.13526994137645</v>
      </c>
      <c r="U5" s="179"/>
    </row>
    <row r="6" spans="1:29" s="148" customFormat="1" ht="30" customHeight="1" x14ac:dyDescent="0.25">
      <c r="A6" s="97">
        <v>3</v>
      </c>
      <c r="B6" s="512" t="str">
        <f>PIERNA!B6</f>
        <v>SEABOARD FOODS</v>
      </c>
      <c r="C6" s="256" t="str">
        <f>PIERNA!C6</f>
        <v>Seaboard</v>
      </c>
      <c r="D6" s="509" t="str">
        <f>PIERNA!D6</f>
        <v>PED. 100127464</v>
      </c>
      <c r="E6" s="510">
        <f>PIERNA!E6</f>
        <v>45111</v>
      </c>
      <c r="F6" s="861">
        <f>PIERNA!F6</f>
        <v>18920.57</v>
      </c>
      <c r="G6" s="355">
        <f>PIERNA!G6</f>
        <v>21</v>
      </c>
      <c r="H6" s="881">
        <f>PIERNA!H6</f>
        <v>18957.8</v>
      </c>
      <c r="I6" s="558">
        <f>PIERNA!I6</f>
        <v>-37.229999999999563</v>
      </c>
      <c r="J6" s="700" t="s">
        <v>357</v>
      </c>
      <c r="K6" s="601">
        <v>10124</v>
      </c>
      <c r="L6" s="614" t="s">
        <v>421</v>
      </c>
      <c r="M6" s="601">
        <v>37120</v>
      </c>
      <c r="N6" s="604" t="s">
        <v>408</v>
      </c>
      <c r="O6" s="1232">
        <v>2191935</v>
      </c>
      <c r="P6" s="470">
        <v>4930</v>
      </c>
      <c r="Q6" s="1385">
        <f>45560.73*17.12</f>
        <v>779999.69760000007</v>
      </c>
      <c r="R6" s="1386" t="s">
        <v>386</v>
      </c>
      <c r="S6" s="903">
        <f t="shared" si="0"/>
        <v>832173.69760000007</v>
      </c>
      <c r="T6" s="903">
        <f t="shared" ref="T6:T31" si="1">S6/H6+0.1</f>
        <v>43.996111236535889</v>
      </c>
      <c r="U6" s="200"/>
    </row>
    <row r="7" spans="1:29" s="148" customFormat="1" ht="34.5" customHeight="1" x14ac:dyDescent="0.25">
      <c r="A7" s="97">
        <v>4</v>
      </c>
      <c r="B7" s="513" t="str">
        <f>PIERNA!B7</f>
        <v>SEABOARD FOODS</v>
      </c>
      <c r="C7" s="256" t="str">
        <f>PIERNA!C7</f>
        <v>Seaboard</v>
      </c>
      <c r="D7" s="509" t="str">
        <f>PIERNA!D7</f>
        <v>PED. 3001407</v>
      </c>
      <c r="E7" s="510">
        <f>PIERNA!E7</f>
        <v>45111</v>
      </c>
      <c r="F7" s="861">
        <f>PIERNA!F7</f>
        <v>19177.060000000001</v>
      </c>
      <c r="G7" s="355">
        <f>PIERNA!G7</f>
        <v>21</v>
      </c>
      <c r="H7" s="881">
        <f>PIERNA!H7</f>
        <v>19229.7</v>
      </c>
      <c r="I7" s="558">
        <f>PIERNA!I7</f>
        <v>-52.639999999999418</v>
      </c>
      <c r="J7" s="818" t="s">
        <v>358</v>
      </c>
      <c r="K7" s="601">
        <v>12434</v>
      </c>
      <c r="L7" s="614" t="s">
        <v>421</v>
      </c>
      <c r="M7" s="601">
        <v>37120</v>
      </c>
      <c r="N7" s="604" t="s">
        <v>408</v>
      </c>
      <c r="O7" s="1232">
        <v>2191936</v>
      </c>
      <c r="P7" s="470">
        <v>4930</v>
      </c>
      <c r="Q7" s="1387">
        <f>46215.88*17.12</f>
        <v>791215.86560000002</v>
      </c>
      <c r="R7" s="1388" t="s">
        <v>386</v>
      </c>
      <c r="S7" s="903">
        <f t="shared" si="0"/>
        <v>845699.86560000002</v>
      </c>
      <c r="T7" s="903">
        <f t="shared" si="1"/>
        <v>44.078838234605847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">
      <c r="A8" s="97">
        <v>5</v>
      </c>
      <c r="B8" s="409" t="str">
        <f>PIERNA!B8</f>
        <v>SEABOARD FOODS</v>
      </c>
      <c r="C8" s="409" t="str">
        <f>PIERNA!C8</f>
        <v>Seaboard</v>
      </c>
      <c r="D8" s="509" t="str">
        <f>PIERNA!D8</f>
        <v>PED. 100127462</v>
      </c>
      <c r="E8" s="510">
        <f>PIERNA!E8</f>
        <v>45111</v>
      </c>
      <c r="F8" s="861">
        <f>PIERNA!F8</f>
        <v>17027.05</v>
      </c>
      <c r="G8" s="355">
        <f>PIERNA!G8</f>
        <v>19</v>
      </c>
      <c r="H8" s="881">
        <f>PIERNA!H8</f>
        <v>17117.599999999999</v>
      </c>
      <c r="I8" s="558">
        <f>PIERNA!I8</f>
        <v>-90.549999999999272</v>
      </c>
      <c r="J8" s="818" t="s">
        <v>359</v>
      </c>
      <c r="K8" s="601">
        <v>11424</v>
      </c>
      <c r="L8" s="1404" t="s">
        <v>421</v>
      </c>
      <c r="M8" s="601">
        <v>37120</v>
      </c>
      <c r="N8" s="604" t="s">
        <v>422</v>
      </c>
      <c r="O8" s="1233">
        <v>2192417</v>
      </c>
      <c r="P8" s="470">
        <v>4408</v>
      </c>
      <c r="Q8" s="1387">
        <f>41138.19*17.12</f>
        <v>704285.81280000007</v>
      </c>
      <c r="R8" s="1389" t="s">
        <v>386</v>
      </c>
      <c r="S8" s="903">
        <f t="shared" si="0"/>
        <v>757237.81280000007</v>
      </c>
      <c r="T8" s="903">
        <f t="shared" si="1"/>
        <v>44.337382156377075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11" t="str">
        <f>PIERNA!B9</f>
        <v>SEABOARD FOODS</v>
      </c>
      <c r="C9" s="256" t="str">
        <f>PIERNA!C9</f>
        <v>Seaboard</v>
      </c>
      <c r="D9" s="509" t="str">
        <f>PIERNA!D9</f>
        <v>PED. 100224720</v>
      </c>
      <c r="E9" s="510">
        <f>PIERNA!E9</f>
        <v>45113</v>
      </c>
      <c r="F9" s="861">
        <f>PIERNA!F9</f>
        <v>19069.2</v>
      </c>
      <c r="G9" s="355">
        <f>PIERNA!G9</f>
        <v>21</v>
      </c>
      <c r="H9" s="881">
        <f>PIERNA!H9</f>
        <v>19154.3</v>
      </c>
      <c r="I9" s="558">
        <f>PIERNA!I9</f>
        <v>-85.099999999998545</v>
      </c>
      <c r="J9" s="700" t="s">
        <v>363</v>
      </c>
      <c r="K9" s="1406">
        <v>12434</v>
      </c>
      <c r="L9" s="1408" t="s">
        <v>423</v>
      </c>
      <c r="M9" s="1407">
        <v>37120</v>
      </c>
      <c r="N9" s="608" t="s">
        <v>409</v>
      </c>
      <c r="O9" s="1232">
        <v>2192416</v>
      </c>
      <c r="P9" s="470">
        <v>4901</v>
      </c>
      <c r="Q9" s="1387">
        <f>46001.14*17.095</f>
        <v>786389.48829999997</v>
      </c>
      <c r="R9" s="1390" t="s">
        <v>387</v>
      </c>
      <c r="S9" s="903">
        <f>Q9+M9+K9</f>
        <v>835943.48829999997</v>
      </c>
      <c r="T9" s="903">
        <f t="shared" si="1"/>
        <v>43.742601833530856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9" t="str">
        <f>PIERNA!D10</f>
        <v>PED. 100223551</v>
      </c>
      <c r="E10" s="510">
        <f>PIERNA!E10</f>
        <v>45113</v>
      </c>
      <c r="F10" s="861">
        <f>PIERNA!F10</f>
        <v>19010.97</v>
      </c>
      <c r="G10" s="355">
        <f>PIERNA!G10</f>
        <v>21</v>
      </c>
      <c r="H10" s="881">
        <f>PIERNA!H10</f>
        <v>19103.5</v>
      </c>
      <c r="I10" s="558">
        <f>PIERNA!I10</f>
        <v>-92.529999999998836</v>
      </c>
      <c r="J10" s="700" t="s">
        <v>364</v>
      </c>
      <c r="K10" s="1406">
        <v>11424</v>
      </c>
      <c r="L10" s="1408" t="s">
        <v>423</v>
      </c>
      <c r="M10" s="1407">
        <v>37120</v>
      </c>
      <c r="N10" s="608" t="s">
        <v>409</v>
      </c>
      <c r="O10" s="1232">
        <v>2192418</v>
      </c>
      <c r="P10" s="470">
        <v>4901</v>
      </c>
      <c r="Q10" s="1391">
        <f>45879.14*17.13</f>
        <v>785909.66819999996</v>
      </c>
      <c r="R10" s="1390" t="s">
        <v>388</v>
      </c>
      <c r="S10" s="903">
        <f>Q10+M10+K10</f>
        <v>834453.66819999996</v>
      </c>
      <c r="T10" s="903">
        <f t="shared" si="1"/>
        <v>43.780669416599054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9" t="str">
        <f>PIERNA!B11</f>
        <v>SEABOARD FOODS</v>
      </c>
      <c r="C11" s="256" t="str">
        <f>PIERNA!C11</f>
        <v>Seaboard</v>
      </c>
      <c r="D11" s="509" t="str">
        <f>PIERNA!D11</f>
        <v>PED. 100343380</v>
      </c>
      <c r="E11" s="510">
        <f>PIERNA!E11</f>
        <v>45115</v>
      </c>
      <c r="F11" s="861">
        <f>PIERNA!F11</f>
        <v>18866.11</v>
      </c>
      <c r="G11" s="355">
        <f>PIERNA!G11</f>
        <v>21</v>
      </c>
      <c r="H11" s="881">
        <f>PIERNA!H11</f>
        <v>19006.400000000001</v>
      </c>
      <c r="I11" s="558">
        <f>PIERNA!I11</f>
        <v>-140.29000000000087</v>
      </c>
      <c r="J11" s="700" t="s">
        <v>365</v>
      </c>
      <c r="K11" s="601">
        <v>10124</v>
      </c>
      <c r="L11" s="1405" t="s">
        <v>424</v>
      </c>
      <c r="M11" s="601">
        <v>37120</v>
      </c>
      <c r="N11" s="608" t="s">
        <v>426</v>
      </c>
      <c r="O11" s="1233">
        <v>2193460</v>
      </c>
      <c r="P11" s="470">
        <v>4959</v>
      </c>
      <c r="Q11" s="1391">
        <f>46574.07*17.09</f>
        <v>795950.85629999998</v>
      </c>
      <c r="R11" s="1390" t="s">
        <v>389</v>
      </c>
      <c r="S11" s="903">
        <f t="shared" si="0"/>
        <v>848153.85629999998</v>
      </c>
      <c r="T11" s="903">
        <f t="shared" si="1"/>
        <v>44.724645187936694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56" t="str">
        <f>PIERNA!B12</f>
        <v>SEABOARD FOODS</v>
      </c>
      <c r="C12" s="256" t="str">
        <f>PIERNA!C12</f>
        <v>Seaboard</v>
      </c>
      <c r="D12" s="509" t="str">
        <f>PIERNA!D12</f>
        <v>PED. 100413516</v>
      </c>
      <c r="E12" s="510">
        <f>PIERNA!E12</f>
        <v>45118</v>
      </c>
      <c r="F12" s="861">
        <f>PIERNA!F12</f>
        <v>19063.169999999998</v>
      </c>
      <c r="G12" s="355">
        <f>PIERNA!G12</f>
        <v>21</v>
      </c>
      <c r="H12" s="881">
        <f>PIERNA!H12</f>
        <v>19098.7</v>
      </c>
      <c r="I12" s="558">
        <f>PIERNA!I12</f>
        <v>-35.530000000002474</v>
      </c>
      <c r="J12" s="700" t="s">
        <v>366</v>
      </c>
      <c r="K12" s="601">
        <v>12434</v>
      </c>
      <c r="L12" s="614" t="s">
        <v>427</v>
      </c>
      <c r="M12" s="601">
        <v>37120</v>
      </c>
      <c r="N12" s="608" t="s">
        <v>413</v>
      </c>
      <c r="O12" s="1233">
        <v>2193946</v>
      </c>
      <c r="P12" s="470">
        <v>5104</v>
      </c>
      <c r="Q12" s="1391">
        <f>47722.94*17.165</f>
        <v>819164.26509999996</v>
      </c>
      <c r="R12" s="1390" t="s">
        <v>389</v>
      </c>
      <c r="S12" s="903">
        <f>Q12+M12+K12</f>
        <v>868718.26509999996</v>
      </c>
      <c r="T12" s="903">
        <f t="shared" si="1"/>
        <v>45.585727567844927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13" t="str">
        <f>PIERNA!B13</f>
        <v>IDEAL TRADING FOODS</v>
      </c>
      <c r="C13" s="256" t="str">
        <f>PIERNA!C13</f>
        <v>SIOUX</v>
      </c>
      <c r="D13" s="509" t="str">
        <f>PIERNA!D13</f>
        <v>PED. 100426103</v>
      </c>
      <c r="E13" s="510">
        <f>PIERNA!E13</f>
        <v>45118</v>
      </c>
      <c r="F13" s="861">
        <f>PIERNA!F13</f>
        <v>18658.54</v>
      </c>
      <c r="G13" s="355">
        <f>PIERNA!G13</f>
        <v>24</v>
      </c>
      <c r="H13" s="881">
        <f>PIERNA!H13</f>
        <v>18701.5</v>
      </c>
      <c r="I13" s="558">
        <f>PIERNA!I13</f>
        <v>-42.959999999999127</v>
      </c>
      <c r="J13" s="1399" t="s">
        <v>367</v>
      </c>
      <c r="K13" s="601">
        <v>11424</v>
      </c>
      <c r="L13" s="614" t="s">
        <v>427</v>
      </c>
      <c r="M13" s="601">
        <v>37120</v>
      </c>
      <c r="N13" s="608" t="s">
        <v>413</v>
      </c>
      <c r="O13" s="1233">
        <v>203077</v>
      </c>
      <c r="P13" s="470">
        <v>4350</v>
      </c>
      <c r="Q13" s="360">
        <f>40404.42*17.08</f>
        <v>690107.49359999993</v>
      </c>
      <c r="R13" s="610" t="s">
        <v>412</v>
      </c>
      <c r="S13" s="903">
        <f t="shared" si="0"/>
        <v>743001.49359999993</v>
      </c>
      <c r="T13" s="903">
        <f t="shared" si="1"/>
        <v>39.829513333155091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362" t="str">
        <f>PIERNA!B14</f>
        <v>SEABOARD FOODS</v>
      </c>
      <c r="C14" s="256" t="str">
        <f>PIERNA!C14</f>
        <v>Seaboard</v>
      </c>
      <c r="D14" s="509" t="str">
        <f>PIERNA!D14</f>
        <v>PED. 100425314</v>
      </c>
      <c r="E14" s="510">
        <f>PIERNA!E14</f>
        <v>45118</v>
      </c>
      <c r="F14" s="861">
        <f>PIERNA!F14</f>
        <v>17358.96</v>
      </c>
      <c r="G14" s="355">
        <f>PIERNA!G14</f>
        <v>19</v>
      </c>
      <c r="H14" s="881">
        <f>PIERNA!H14</f>
        <v>17292.400000000001</v>
      </c>
      <c r="I14" s="558">
        <f>PIERNA!I14</f>
        <v>66.559999999997672</v>
      </c>
      <c r="J14" s="1363" t="s">
        <v>368</v>
      </c>
      <c r="K14" s="1781"/>
      <c r="L14" s="1782"/>
      <c r="M14" s="1781"/>
      <c r="N14" s="1783"/>
      <c r="O14" s="1784"/>
      <c r="P14" s="1785">
        <v>4640</v>
      </c>
      <c r="Q14" s="1786"/>
      <c r="R14" s="1787"/>
      <c r="S14" s="903">
        <f>Q14+M14+K14</f>
        <v>0</v>
      </c>
      <c r="T14" s="903">
        <f t="shared" si="1"/>
        <v>0.1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08" t="str">
        <f>PIERNA!B15</f>
        <v>SEABOARD FOODS</v>
      </c>
      <c r="C15" s="256" t="str">
        <f>PIERNA!C15</f>
        <v>Seaboard</v>
      </c>
      <c r="D15" s="509" t="str">
        <f>PIERNA!D15</f>
        <v>PED. 100476612</v>
      </c>
      <c r="E15" s="510">
        <f>PIERNA!E15</f>
        <v>45119</v>
      </c>
      <c r="F15" s="861">
        <f>PIERNA!F15</f>
        <v>17348.32</v>
      </c>
      <c r="G15" s="355">
        <f>PIERNA!G15</f>
        <v>19</v>
      </c>
      <c r="H15" s="881">
        <f>PIERNA!H15</f>
        <v>17288</v>
      </c>
      <c r="I15" s="558">
        <f>PIERNA!I15</f>
        <v>60.319999999999709</v>
      </c>
      <c r="J15" s="769" t="s">
        <v>372</v>
      </c>
      <c r="K15" s="601">
        <v>1024</v>
      </c>
      <c r="L15" s="609" t="s">
        <v>428</v>
      </c>
      <c r="M15" s="601">
        <v>37120</v>
      </c>
      <c r="N15" s="612" t="s">
        <v>414</v>
      </c>
      <c r="O15" s="1233">
        <v>2194763</v>
      </c>
      <c r="P15" s="470">
        <v>4611</v>
      </c>
      <c r="Q15" s="360">
        <f>43198.41*17.05</f>
        <v>736532.8905000001</v>
      </c>
      <c r="R15" s="613" t="s">
        <v>410</v>
      </c>
      <c r="S15" s="903">
        <f t="shared" si="0"/>
        <v>779287.8905000001</v>
      </c>
      <c r="T15" s="903">
        <f t="shared" si="1"/>
        <v>45.176809954882003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171" t="str">
        <f>PIERNA!B16</f>
        <v>SEABOARD FOODS</v>
      </c>
      <c r="C16" s="256" t="str">
        <f>PIERNA!C16</f>
        <v>Seaboard</v>
      </c>
      <c r="D16" s="509" t="str">
        <f>PIERNA!D16</f>
        <v>PED. 100536486</v>
      </c>
      <c r="E16" s="510">
        <f>PIERNA!E16</f>
        <v>45120</v>
      </c>
      <c r="F16" s="861">
        <f>PIERNA!F16</f>
        <v>18755.29</v>
      </c>
      <c r="G16" s="355">
        <f>PIERNA!G16</f>
        <v>21</v>
      </c>
      <c r="H16" s="881">
        <f>PIERNA!H16</f>
        <v>18941.8</v>
      </c>
      <c r="I16" s="558">
        <f>PIERNA!I16</f>
        <v>-186.5099999999984</v>
      </c>
      <c r="J16" s="770" t="s">
        <v>379</v>
      </c>
      <c r="K16" s="601">
        <v>12424</v>
      </c>
      <c r="L16" s="609" t="s">
        <v>429</v>
      </c>
      <c r="M16" s="601">
        <v>37120</v>
      </c>
      <c r="N16" s="612" t="s">
        <v>430</v>
      </c>
      <c r="O16" s="1233">
        <v>2194764</v>
      </c>
      <c r="P16" s="470">
        <v>5104</v>
      </c>
      <c r="Q16" s="470">
        <f>47777.62*17.265</f>
        <v>824880.60930000013</v>
      </c>
      <c r="R16" s="610" t="s">
        <v>409</v>
      </c>
      <c r="S16" s="903">
        <f t="shared" si="0"/>
        <v>879528.60930000013</v>
      </c>
      <c r="T16" s="903">
        <f t="shared" si="1"/>
        <v>46.533211695826175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168" t="str">
        <f>PIERNA!B17</f>
        <v>SEABOARD FOODS</v>
      </c>
      <c r="C17" s="256" t="str">
        <f>PIERNA!C17</f>
        <v>Seaboard</v>
      </c>
      <c r="D17" s="509" t="str">
        <f>PIERNA!D17</f>
        <v>PED. 100575939</v>
      </c>
      <c r="E17" s="510">
        <f>PIERNA!E17</f>
        <v>45121</v>
      </c>
      <c r="F17" s="861">
        <f>PIERNA!F17</f>
        <v>19031.169999999998</v>
      </c>
      <c r="G17" s="355">
        <f>PIERNA!G17</f>
        <v>21</v>
      </c>
      <c r="H17" s="881">
        <f>PIERNA!H17</f>
        <v>19010.900000000001</v>
      </c>
      <c r="I17" s="558">
        <f>PIERNA!I17</f>
        <v>20.269999999996799</v>
      </c>
      <c r="J17" s="1374" t="s">
        <v>381</v>
      </c>
      <c r="K17" s="601">
        <v>14389</v>
      </c>
      <c r="L17" s="609" t="s">
        <v>430</v>
      </c>
      <c r="M17" s="601">
        <v>37120</v>
      </c>
      <c r="N17" s="608" t="s">
        <v>413</v>
      </c>
      <c r="O17" s="1233">
        <v>2195872</v>
      </c>
      <c r="P17" s="1234">
        <v>5249</v>
      </c>
      <c r="Q17" s="470">
        <f>49154.39*17.16</f>
        <v>843489.33239999996</v>
      </c>
      <c r="R17" s="610" t="s">
        <v>411</v>
      </c>
      <c r="S17" s="903">
        <f>Q17+M17+K17</f>
        <v>894998.33239999996</v>
      </c>
      <c r="T17" s="903">
        <f>S17/H17</f>
        <v>47.078167388182564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08" t="str">
        <f>PIERNA!B18</f>
        <v>SEABOARD FOODS</v>
      </c>
      <c r="C18" s="256" t="str">
        <f>PIERNA!C18</f>
        <v>Seaboard</v>
      </c>
      <c r="D18" s="509" t="str">
        <f>PIERNA!D18</f>
        <v>PED. 100654709</v>
      </c>
      <c r="E18" s="510">
        <f>PIERNA!E18</f>
        <v>45122</v>
      </c>
      <c r="F18" s="861">
        <f>PIERNA!F18</f>
        <v>18216.79</v>
      </c>
      <c r="G18" s="355">
        <f>PIERNA!G18</f>
        <v>20</v>
      </c>
      <c r="H18" s="881">
        <f>PIERNA!H18</f>
        <v>18220.2</v>
      </c>
      <c r="I18" s="558">
        <f>PIERNA!I18</f>
        <v>-3.4099999999998545</v>
      </c>
      <c r="J18" s="700" t="s">
        <v>382</v>
      </c>
      <c r="K18" s="601">
        <v>12434</v>
      </c>
      <c r="L18" s="609" t="s">
        <v>430</v>
      </c>
      <c r="M18" s="601">
        <v>37120</v>
      </c>
      <c r="N18" s="612" t="s">
        <v>416</v>
      </c>
      <c r="O18" s="1232">
        <v>2195871</v>
      </c>
      <c r="P18" s="778">
        <v>5046</v>
      </c>
      <c r="Q18" s="470">
        <f>47111.38*17.16</f>
        <v>808431.28079999995</v>
      </c>
      <c r="R18" s="611" t="s">
        <v>411</v>
      </c>
      <c r="S18" s="903">
        <f>Q18+M18+K18</f>
        <v>857985.28079999995</v>
      </c>
      <c r="T18" s="903">
        <f t="shared" si="1"/>
        <v>47.189783910165637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1" t="str">
        <f>PIERNA!B19</f>
        <v>SEABOARD FOODS</v>
      </c>
      <c r="C19" s="256" t="str">
        <f>PIERNA!C19</f>
        <v>Seaboard</v>
      </c>
      <c r="D19" s="509" t="str">
        <f>PIERNA!D19</f>
        <v>PED. 100730451</v>
      </c>
      <c r="E19" s="510">
        <f>PIERNA!E19</f>
        <v>45125</v>
      </c>
      <c r="F19" s="861">
        <f>PIERNA!F19</f>
        <v>18498.009999999998</v>
      </c>
      <c r="G19" s="355">
        <f>PIERNA!G19</f>
        <v>21</v>
      </c>
      <c r="H19" s="881">
        <f>PIERNA!H19</f>
        <v>18762.900000000001</v>
      </c>
      <c r="I19" s="558">
        <f>PIERNA!I19</f>
        <v>-264.89000000000306</v>
      </c>
      <c r="J19" s="700" t="s">
        <v>400</v>
      </c>
      <c r="K19" s="601">
        <v>12274</v>
      </c>
      <c r="L19" s="609" t="s">
        <v>431</v>
      </c>
      <c r="M19" s="601">
        <v>37120</v>
      </c>
      <c r="N19" s="612" t="s">
        <v>432</v>
      </c>
      <c r="O19" s="1232">
        <v>2196274</v>
      </c>
      <c r="P19" s="1570">
        <v>5336</v>
      </c>
      <c r="Q19" s="470">
        <f>50473.57*17.09</f>
        <v>862593.31129999994</v>
      </c>
      <c r="R19" s="604" t="s">
        <v>413</v>
      </c>
      <c r="S19" s="903">
        <f>Q19+M19+K19</f>
        <v>911987.31129999994</v>
      </c>
      <c r="T19" s="903">
        <f t="shared" si="1"/>
        <v>48.705882422226836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398" t="str">
        <f>PIERNA!B20</f>
        <v>SEABOARD FOODS</v>
      </c>
      <c r="C20" s="256" t="str">
        <f>PIERNA!C20</f>
        <v>Seaboard</v>
      </c>
      <c r="D20" s="509" t="str">
        <f>PIERNA!D20</f>
        <v>PED. 100731540</v>
      </c>
      <c r="E20" s="510">
        <f>PIERNA!E20</f>
        <v>45125</v>
      </c>
      <c r="F20" s="861">
        <f>PIERNA!F20</f>
        <v>19016.04</v>
      </c>
      <c r="G20" s="355">
        <f>PIERNA!G20</f>
        <v>21</v>
      </c>
      <c r="H20" s="881">
        <f>PIERNA!H20</f>
        <v>19039.3</v>
      </c>
      <c r="I20" s="558">
        <f>PIERNA!I20</f>
        <v>-23.259999999998399</v>
      </c>
      <c r="J20" s="1394" t="s">
        <v>394</v>
      </c>
      <c r="K20" s="1579">
        <v>12434</v>
      </c>
      <c r="L20" s="1578" t="s">
        <v>742</v>
      </c>
      <c r="M20" s="1579">
        <v>37120</v>
      </c>
      <c r="N20" s="1581" t="s">
        <v>741</v>
      </c>
      <c r="O20" s="1580">
        <v>2196214</v>
      </c>
      <c r="P20" s="1582">
        <v>5423</v>
      </c>
      <c r="Q20" s="1582">
        <f>51217.9*17.08</f>
        <v>874801.73199999996</v>
      </c>
      <c r="R20" s="1780" t="s">
        <v>740</v>
      </c>
      <c r="S20" s="903">
        <f t="shared" si="0"/>
        <v>929778.73199999996</v>
      </c>
      <c r="T20" s="903">
        <f t="shared" si="1"/>
        <v>48.934711990461835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09" t="str">
        <f>PIERNA!B21</f>
        <v>SEABOARD FOODS</v>
      </c>
      <c r="C21" s="356" t="str">
        <f>PIERNA!C21</f>
        <v>Seaboard</v>
      </c>
      <c r="D21" s="509" t="str">
        <f>PIERNA!D21</f>
        <v>PED. 100792697</v>
      </c>
      <c r="E21" s="510">
        <f>PIERNA!E21</f>
        <v>45126</v>
      </c>
      <c r="F21" s="861">
        <f>PIERNA!F21</f>
        <v>18928.48</v>
      </c>
      <c r="G21" s="355">
        <f>PIERNA!G21</f>
        <v>21</v>
      </c>
      <c r="H21" s="881">
        <f>PIERNA!H21</f>
        <v>18991.400000000001</v>
      </c>
      <c r="I21" s="558">
        <f>PIERNA!I21</f>
        <v>-62.920000000001892</v>
      </c>
      <c r="J21" s="700" t="s">
        <v>404</v>
      </c>
      <c r="K21" s="601">
        <v>10124</v>
      </c>
      <c r="L21" s="609" t="s">
        <v>433</v>
      </c>
      <c r="M21" s="601">
        <v>37120</v>
      </c>
      <c r="N21" s="612" t="s">
        <v>433</v>
      </c>
      <c r="O21" s="1233">
        <v>2196662</v>
      </c>
      <c r="P21" s="1573">
        <v>5336</v>
      </c>
      <c r="Q21" s="470">
        <f>51088.55*16.875</f>
        <v>862119.28125</v>
      </c>
      <c r="R21" s="604" t="s">
        <v>414</v>
      </c>
      <c r="S21" s="903">
        <f t="shared" si="0"/>
        <v>914699.28125</v>
      </c>
      <c r="T21" s="903">
        <f t="shared" si="1"/>
        <v>48.263867921796177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12" t="str">
        <f>PIERNA!B22</f>
        <v>SEABOARD FOODS</v>
      </c>
      <c r="C22" s="256" t="str">
        <f>PIERNA!C22</f>
        <v>Seaboard</v>
      </c>
      <c r="D22" s="509" t="str">
        <f>PIERNA!D22</f>
        <v>PED. 10845482</v>
      </c>
      <c r="E22" s="510">
        <f>PIERNA!E22</f>
        <v>45127</v>
      </c>
      <c r="F22" s="861">
        <f>PIERNA!F22</f>
        <v>19001.03</v>
      </c>
      <c r="G22" s="355">
        <f>PIERNA!G22</f>
        <v>21</v>
      </c>
      <c r="H22" s="881">
        <f>PIERNA!H22</f>
        <v>19038.900000000001</v>
      </c>
      <c r="I22" s="558">
        <f>PIERNA!I22</f>
        <v>-37.870000000002619</v>
      </c>
      <c r="J22" s="818" t="s">
        <v>405</v>
      </c>
      <c r="K22" s="601">
        <v>13906</v>
      </c>
      <c r="L22" s="609" t="s">
        <v>433</v>
      </c>
      <c r="M22" s="601">
        <v>37120</v>
      </c>
      <c r="N22" s="1181" t="s">
        <v>473</v>
      </c>
      <c r="O22" s="1233">
        <v>2197532</v>
      </c>
      <c r="P22" s="1569">
        <v>5423</v>
      </c>
      <c r="Q22" s="470">
        <f>51829.5*16.86</f>
        <v>873845.37</v>
      </c>
      <c r="R22" s="604" t="s">
        <v>415</v>
      </c>
      <c r="S22" s="903">
        <f>Q22+M22+K22</f>
        <v>924871.37</v>
      </c>
      <c r="T22" s="903">
        <f t="shared" si="1"/>
        <v>48.677983496945721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13" t="str">
        <f>PIERNA!B23</f>
        <v>SEABOARD FOODS</v>
      </c>
      <c r="C23" s="256" t="str">
        <f>PIERNA!C23</f>
        <v>Seaboard</v>
      </c>
      <c r="D23" s="509" t="str">
        <f>PIERNA!D23</f>
        <v>PED. 100892507</v>
      </c>
      <c r="E23" s="510">
        <f>PIERNA!E23</f>
        <v>45128</v>
      </c>
      <c r="F23" s="861">
        <f>PIERNA!F23</f>
        <v>18625.509999999998</v>
      </c>
      <c r="G23" s="355">
        <f>PIERNA!G23</f>
        <v>21</v>
      </c>
      <c r="H23" s="881">
        <f>PIERNA!H23</f>
        <v>18765.900000000001</v>
      </c>
      <c r="I23" s="558">
        <f>PIERNA!I23</f>
        <v>-140.39000000000306</v>
      </c>
      <c r="J23" s="818" t="s">
        <v>406</v>
      </c>
      <c r="K23" s="601">
        <v>12274</v>
      </c>
      <c r="L23" s="609" t="s">
        <v>483</v>
      </c>
      <c r="M23" s="601">
        <v>37120</v>
      </c>
      <c r="N23" s="854" t="s">
        <v>420</v>
      </c>
      <c r="O23" s="1233">
        <v>2198358</v>
      </c>
      <c r="P23" s="1574">
        <v>5394</v>
      </c>
      <c r="Q23" s="470">
        <f>51516.41*16.903</f>
        <v>870781.87823000003</v>
      </c>
      <c r="R23" s="604" t="s">
        <v>416</v>
      </c>
      <c r="S23" s="903">
        <f>Q23+M23+K23</f>
        <v>920175.87823000003</v>
      </c>
      <c r="T23" s="903">
        <f t="shared" si="1"/>
        <v>49.134465612094274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1168" t="str">
        <f>PIERNA!B24</f>
        <v>SEABOARD FOODS</v>
      </c>
      <c r="C24" s="256" t="str">
        <f>PIERNA!C24</f>
        <v>Seaboard</v>
      </c>
      <c r="D24" s="514" t="str">
        <f>PIERNA!D24</f>
        <v>PED. 101044869</v>
      </c>
      <c r="E24" s="510">
        <f>PIERNA!E24</f>
        <v>45132</v>
      </c>
      <c r="F24" s="861">
        <f>PIERNA!F24</f>
        <v>18753.2</v>
      </c>
      <c r="G24" s="355">
        <f>PIERNA!G24</f>
        <v>21</v>
      </c>
      <c r="H24" s="881">
        <f>PIERNA!H24</f>
        <v>18856.599999999999</v>
      </c>
      <c r="I24" s="558">
        <f>PIERNA!I24</f>
        <v>-103.39999999999782</v>
      </c>
      <c r="J24" s="1445" t="s">
        <v>454</v>
      </c>
      <c r="K24" s="1781"/>
      <c r="L24" s="1782"/>
      <c r="M24" s="1781"/>
      <c r="N24" s="1783"/>
      <c r="O24" s="1784"/>
      <c r="P24" s="1788">
        <v>5394</v>
      </c>
      <c r="Q24" s="1789"/>
      <c r="R24" s="1790"/>
      <c r="S24" s="903">
        <f>Q24+M24+K24</f>
        <v>0</v>
      </c>
      <c r="T24" s="903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11" t="str">
        <f>PIERNA!HM5</f>
        <v>SEABOARD FOODS</v>
      </c>
      <c r="C25" s="359" t="str">
        <f>PIERNA!HN5</f>
        <v>Seaboard</v>
      </c>
      <c r="D25" s="514" t="str">
        <f>PIERNA!HO5</f>
        <v>PED. 101044870</v>
      </c>
      <c r="E25" s="510">
        <f>PIERNA!E25</f>
        <v>45132</v>
      </c>
      <c r="F25" s="861">
        <f>PIERNA!HQ5</f>
        <v>19024.82</v>
      </c>
      <c r="G25" s="355">
        <f>PIERNA!HR5</f>
        <v>21</v>
      </c>
      <c r="H25" s="881">
        <f>PIERNA!HS5</f>
        <v>19002.7</v>
      </c>
      <c r="I25" s="558">
        <f>PIERNA!I25</f>
        <v>22.119999999998981</v>
      </c>
      <c r="J25" s="700" t="s">
        <v>455</v>
      </c>
      <c r="K25" s="601">
        <v>11424</v>
      </c>
      <c r="L25" s="609" t="s">
        <v>484</v>
      </c>
      <c r="M25" s="601">
        <v>37120</v>
      </c>
      <c r="N25" s="1181" t="s">
        <v>479</v>
      </c>
      <c r="O25" s="1232">
        <v>2199348</v>
      </c>
      <c r="P25" s="1573">
        <v>5394</v>
      </c>
      <c r="Q25" s="470">
        <f>52145.46*16.755</f>
        <v>873697.18229999999</v>
      </c>
      <c r="R25" s="604" t="s">
        <v>472</v>
      </c>
      <c r="S25" s="903">
        <f t="shared" si="0"/>
        <v>927635.18229999999</v>
      </c>
      <c r="T25" s="903">
        <f t="shared" si="1"/>
        <v>48.915967325695824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3">
      <c r="A26" s="97">
        <v>23</v>
      </c>
      <c r="B26" s="1448" t="str">
        <f>PIERNA!HW5</f>
        <v>ALFONSO ESPINDOLA SALDAÑA</v>
      </c>
      <c r="C26" s="1449" t="str">
        <f>PIERNA!HX5</f>
        <v>PRESTAGE</v>
      </c>
      <c r="D26" s="514">
        <f>PIERNA!HY5</f>
        <v>0</v>
      </c>
      <c r="E26" s="510">
        <f>PIERNA!HZ5</f>
        <v>45133</v>
      </c>
      <c r="F26" s="861">
        <f>PIERNA!IA5</f>
        <v>19010.48</v>
      </c>
      <c r="G26" s="515">
        <f>PIERNA!IB5</f>
        <v>22</v>
      </c>
      <c r="H26" s="881">
        <f>PIERNA!IC5</f>
        <v>19116.2</v>
      </c>
      <c r="I26" s="558">
        <f>PIERNA!I26</f>
        <v>-105.72000000000116</v>
      </c>
      <c r="J26" s="1450"/>
      <c r="K26" s="601"/>
      <c r="L26" s="609"/>
      <c r="M26" s="601"/>
      <c r="N26" s="604"/>
      <c r="O26" s="1232">
        <v>3464</v>
      </c>
      <c r="P26" s="1458" t="s">
        <v>469</v>
      </c>
      <c r="Q26" s="470">
        <v>917586.72</v>
      </c>
      <c r="R26" s="606" t="s">
        <v>468</v>
      </c>
      <c r="S26" s="903">
        <f>Q26+M26+K26</f>
        <v>917586.72</v>
      </c>
      <c r="T26" s="903">
        <f>S26/H26</f>
        <v>48.000477082265299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14" t="str">
        <f>PIERNA!II5</f>
        <v>PED. 101182180</v>
      </c>
      <c r="E27" s="510">
        <f>PIERNA!IJ5</f>
        <v>45134</v>
      </c>
      <c r="F27" s="861">
        <f>PIERNA!IK5</f>
        <v>16855.38</v>
      </c>
      <c r="G27" s="515">
        <f>PIERNA!IL5</f>
        <v>19</v>
      </c>
      <c r="H27" s="881">
        <f>PIERNA!IM5</f>
        <v>17019.7</v>
      </c>
      <c r="I27" s="558">
        <f>PIERNA!I27</f>
        <v>-164.31999999999971</v>
      </c>
      <c r="J27" s="818" t="s">
        <v>463</v>
      </c>
      <c r="K27" s="360">
        <v>12274</v>
      </c>
      <c r="L27" s="609" t="s">
        <v>486</v>
      </c>
      <c r="M27" s="601">
        <v>37120</v>
      </c>
      <c r="N27" s="608" t="s">
        <v>487</v>
      </c>
      <c r="O27" s="1232">
        <v>2200035</v>
      </c>
      <c r="P27" s="1569">
        <v>4756</v>
      </c>
      <c r="Q27" s="1172">
        <f>45322.82*16.77</f>
        <v>760063.69140000001</v>
      </c>
      <c r="R27" s="1173" t="s">
        <v>419</v>
      </c>
      <c r="S27" s="903">
        <f>Q27+M27+K27+P27</f>
        <v>814213.69140000001</v>
      </c>
      <c r="T27" s="903">
        <f t="shared" si="1"/>
        <v>47.939485502094634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72" t="str">
        <f>PIERNA!IR5</f>
        <v>Seaboard</v>
      </c>
      <c r="D28" s="810" t="str">
        <f>PIERNA!IS5</f>
        <v>PED. 101220112</v>
      </c>
      <c r="E28" s="615">
        <f>PIERNA!IT5</f>
        <v>45135</v>
      </c>
      <c r="F28" s="862">
        <f>PIERNA!IU5</f>
        <v>18995.7</v>
      </c>
      <c r="G28" s="515">
        <f>PIERNA!IV5</f>
        <v>21</v>
      </c>
      <c r="H28" s="881">
        <f>PIERNA!IW5</f>
        <v>19128.3</v>
      </c>
      <c r="I28" s="558">
        <f>PIERNA!I28</f>
        <v>-132.59999999999854</v>
      </c>
      <c r="J28" s="997" t="s">
        <v>465</v>
      </c>
      <c r="K28" s="1179">
        <v>11424</v>
      </c>
      <c r="L28" s="1175" t="s">
        <v>487</v>
      </c>
      <c r="M28" s="1176">
        <v>37120</v>
      </c>
      <c r="N28" s="1177" t="s">
        <v>479</v>
      </c>
      <c r="O28" s="1169">
        <v>2200216</v>
      </c>
      <c r="P28" s="1573">
        <v>5133</v>
      </c>
      <c r="Q28" s="470">
        <f>48871.97*16.903</f>
        <v>826082.90891</v>
      </c>
      <c r="R28" s="606" t="s">
        <v>416</v>
      </c>
      <c r="S28" s="903">
        <f t="shared" si="0"/>
        <v>879759.90891</v>
      </c>
      <c r="T28" s="903">
        <f t="shared" si="1"/>
        <v>46.092582137984039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57" t="str">
        <f>PIERNA!JA5</f>
        <v>SAM FARMS LLC</v>
      </c>
      <c r="C29" s="772" t="str">
        <f>PIERNA!JB5</f>
        <v xml:space="preserve">I B P </v>
      </c>
      <c r="D29" s="810" t="str">
        <f>PIERNA!JC5</f>
        <v>PED. 101226747</v>
      </c>
      <c r="E29" s="615">
        <f>PIERNA!JD5</f>
        <v>45135</v>
      </c>
      <c r="F29" s="862">
        <f>PIERNA!JE5</f>
        <v>18725.68</v>
      </c>
      <c r="G29" s="515">
        <f>PIERNA!JF5</f>
        <v>20</v>
      </c>
      <c r="H29" s="881">
        <f>PIERNA!JG5</f>
        <v>18767.75</v>
      </c>
      <c r="I29" s="558">
        <f>PIERNA!I29</f>
        <v>-42.069999999999709</v>
      </c>
      <c r="J29" s="1170" t="s">
        <v>466</v>
      </c>
      <c r="K29" s="1178">
        <v>12434</v>
      </c>
      <c r="L29" s="609" t="s">
        <v>487</v>
      </c>
      <c r="M29" s="601">
        <v>37120</v>
      </c>
      <c r="N29" s="606" t="s">
        <v>479</v>
      </c>
      <c r="O29" s="605">
        <v>11898</v>
      </c>
      <c r="P29" s="1573">
        <v>4988</v>
      </c>
      <c r="Q29" s="1172">
        <f>47743.77*16.77</f>
        <v>800663.02289999998</v>
      </c>
      <c r="R29" s="1173" t="s">
        <v>386</v>
      </c>
      <c r="S29" s="903">
        <f t="shared" si="0"/>
        <v>855205.02289999998</v>
      </c>
      <c r="T29" s="903">
        <f t="shared" si="1"/>
        <v>45.667797040135341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>
        <f>PIERNA!JK5</f>
        <v>0</v>
      </c>
      <c r="C30" s="772">
        <f>PIERNA!JL5</f>
        <v>0</v>
      </c>
      <c r="D30" s="810">
        <f>PIERNA!JM5</f>
        <v>0</v>
      </c>
      <c r="E30" s="811">
        <f>PIERNA!JN5</f>
        <v>0</v>
      </c>
      <c r="F30" s="863">
        <f>PIERNA!JO5</f>
        <v>0</v>
      </c>
      <c r="G30" s="361">
        <f>PIERNA!JP5</f>
        <v>0</v>
      </c>
      <c r="H30" s="882">
        <f>PIERNA!JQ5</f>
        <v>0</v>
      </c>
      <c r="I30" s="558">
        <f>PIERNA!I30</f>
        <v>0</v>
      </c>
      <c r="J30" s="818"/>
      <c r="K30" s="360"/>
      <c r="L30" s="609"/>
      <c r="M30" s="601"/>
      <c r="N30" s="606"/>
      <c r="O30" s="605"/>
      <c r="P30" s="470"/>
      <c r="Q30" s="470"/>
      <c r="R30" s="606"/>
      <c r="S30" s="903">
        <f>Q30+M30+K30</f>
        <v>0</v>
      </c>
      <c r="T30" s="903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26">
        <f>PIERNA!JV5</f>
        <v>0</v>
      </c>
      <c r="D31" s="810">
        <f>PIERNA!JW5</f>
        <v>0</v>
      </c>
      <c r="E31" s="811">
        <f>PIERNA!JX5</f>
        <v>0</v>
      </c>
      <c r="F31" s="863">
        <f>PIERNA!JY5</f>
        <v>0</v>
      </c>
      <c r="G31" s="361">
        <f>PIERNA!JZ5</f>
        <v>0</v>
      </c>
      <c r="H31" s="882">
        <f>PIERNA!KA5</f>
        <v>0</v>
      </c>
      <c r="I31" s="558">
        <f>PIERNA!I31</f>
        <v>0</v>
      </c>
      <c r="J31" s="1174"/>
      <c r="K31" s="360"/>
      <c r="L31" s="612"/>
      <c r="M31" s="601"/>
      <c r="N31" s="604"/>
      <c r="O31" s="605"/>
      <c r="P31" s="470"/>
      <c r="Q31" s="1172"/>
      <c r="R31" s="606"/>
      <c r="S31" s="903">
        <f t="shared" si="0"/>
        <v>0</v>
      </c>
      <c r="T31" s="903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72">
        <f>PIERNA!KF5</f>
        <v>0</v>
      </c>
      <c r="D32" s="810">
        <f>PIERNA!KG5</f>
        <v>0</v>
      </c>
      <c r="E32" s="811">
        <f>PIERNA!KH5</f>
        <v>0</v>
      </c>
      <c r="F32" s="863">
        <f>PIERNA!KI5</f>
        <v>0</v>
      </c>
      <c r="G32" s="361">
        <f>PIERNA!KJ5</f>
        <v>0</v>
      </c>
      <c r="H32" s="882">
        <f>PIERNA!H32</f>
        <v>0</v>
      </c>
      <c r="I32" s="558">
        <f>PIERNA!I32</f>
        <v>0</v>
      </c>
      <c r="J32" s="997"/>
      <c r="K32" s="976"/>
      <c r="L32" s="603"/>
      <c r="M32" s="601"/>
      <c r="N32" s="604"/>
      <c r="O32" s="605"/>
      <c r="P32" s="470"/>
      <c r="Q32" s="470"/>
      <c r="R32" s="606"/>
      <c r="S32" s="903">
        <f>Q32+M32+K32+P32</f>
        <v>0</v>
      </c>
      <c r="T32" s="903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9">
        <f>PIERNA!KO5</f>
        <v>0</v>
      </c>
      <c r="C33" s="772">
        <f>PIERNA!KP5</f>
        <v>0</v>
      </c>
      <c r="D33" s="810">
        <f>PIERNA!KQ5</f>
        <v>0</v>
      </c>
      <c r="E33" s="811">
        <f>PIERNA!KR5</f>
        <v>0</v>
      </c>
      <c r="F33" s="864">
        <f>PIERNA!KS5</f>
        <v>0</v>
      </c>
      <c r="G33" s="517">
        <f>PIERNA!KT5</f>
        <v>0</v>
      </c>
      <c r="H33" s="882">
        <f>PIERNA!KU5</f>
        <v>0</v>
      </c>
      <c r="I33" s="559">
        <f>PIERNA!I33</f>
        <v>0</v>
      </c>
      <c r="J33" s="961"/>
      <c r="K33" s="960"/>
      <c r="L33" s="1046"/>
      <c r="M33" s="1046"/>
      <c r="N33" s="1046"/>
      <c r="O33" s="1046"/>
      <c r="P33" s="470"/>
      <c r="Q33" s="1172"/>
      <c r="R33" s="606"/>
      <c r="S33" s="903">
        <f>Q33+M33+K33+P33</f>
        <v>0</v>
      </c>
      <c r="T33" s="903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73">
        <f>PIERNA!C34</f>
        <v>0</v>
      </c>
      <c r="D34" s="810">
        <f>PIERNA!D34</f>
        <v>0</v>
      </c>
      <c r="E34" s="811">
        <f>PIERNA!E34</f>
        <v>0</v>
      </c>
      <c r="F34" s="864">
        <f>PIERNA!F34</f>
        <v>0</v>
      </c>
      <c r="G34" s="517">
        <f>PIERNA!G34</f>
        <v>0</v>
      </c>
      <c r="H34" s="882">
        <f>PIERNA!H34</f>
        <v>0</v>
      </c>
      <c r="I34" s="558">
        <f>PIERNA!I34</f>
        <v>0</v>
      </c>
      <c r="J34" s="1166"/>
      <c r="K34" s="1165"/>
      <c r="L34" s="603"/>
      <c r="M34" s="601"/>
      <c r="N34" s="604"/>
      <c r="O34" s="1032"/>
      <c r="P34" s="470"/>
      <c r="Q34" s="471"/>
      <c r="R34" s="607"/>
      <c r="S34" s="903">
        <f>Q34+M34+K34+P34</f>
        <v>0</v>
      </c>
      <c r="T34" s="903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6">
        <f>PIERNA!C35</f>
        <v>0</v>
      </c>
      <c r="D35" s="514">
        <f>PIERNA!D35</f>
        <v>0</v>
      </c>
      <c r="E35" s="516">
        <f>PIERNA!E35</f>
        <v>0</v>
      </c>
      <c r="F35" s="865">
        <f>PIERNA!F35</f>
        <v>0</v>
      </c>
      <c r="G35" s="518">
        <f>PIERNA!G35</f>
        <v>0</v>
      </c>
      <c r="H35" s="882">
        <f>PIERNA!H35</f>
        <v>0</v>
      </c>
      <c r="I35" s="558">
        <f>PIERNA!I35</f>
        <v>0</v>
      </c>
      <c r="J35" s="818"/>
      <c r="K35" s="360"/>
      <c r="L35" s="603"/>
      <c r="M35" s="601"/>
      <c r="N35" s="604"/>
      <c r="O35" s="1032"/>
      <c r="P35" s="470"/>
      <c r="Q35" s="360"/>
      <c r="R35" s="606"/>
      <c r="S35" s="903">
        <f>Q35+M35+K35</f>
        <v>0</v>
      </c>
      <c r="T35" s="903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6">
        <f>PIERNA!C36</f>
        <v>0</v>
      </c>
      <c r="D36" s="514">
        <f>PIERNA!D36</f>
        <v>0</v>
      </c>
      <c r="E36" s="516">
        <f>PIERNA!E36</f>
        <v>0</v>
      </c>
      <c r="F36" s="865">
        <f>PIERNA!F36</f>
        <v>0</v>
      </c>
      <c r="G36" s="518">
        <f>PIERNA!G36</f>
        <v>0</v>
      </c>
      <c r="H36" s="882">
        <f>PIERNA!H36</f>
        <v>0</v>
      </c>
      <c r="I36" s="558">
        <f>PIERNA!I36</f>
        <v>0</v>
      </c>
      <c r="J36" s="818"/>
      <c r="K36" s="360"/>
      <c r="L36" s="603"/>
      <c r="M36" s="601"/>
      <c r="N36" s="608"/>
      <c r="O36" s="1032"/>
      <c r="P36" s="470"/>
      <c r="Q36" s="360"/>
      <c r="R36" s="604"/>
      <c r="S36" s="903">
        <f t="shared" ref="S36:S39" si="9">Q36+M36+K36</f>
        <v>0</v>
      </c>
      <c r="T36" s="903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6">
        <f>PIERNA!C37</f>
        <v>0</v>
      </c>
      <c r="D37" s="509">
        <f>PIERNA!D37</f>
        <v>0</v>
      </c>
      <c r="E37" s="510">
        <f>PIERNA!E37</f>
        <v>0</v>
      </c>
      <c r="F37" s="861">
        <f>PIERNA!F37</f>
        <v>0</v>
      </c>
      <c r="G37" s="355">
        <f>PIERNA!G37</f>
        <v>0</v>
      </c>
      <c r="H37" s="881">
        <f>PIERNA!H37</f>
        <v>0</v>
      </c>
      <c r="I37" s="558">
        <f>PIERNA!I37</f>
        <v>0</v>
      </c>
      <c r="J37" s="818"/>
      <c r="K37" s="360"/>
      <c r="L37" s="603"/>
      <c r="M37" s="601"/>
      <c r="N37" s="604"/>
      <c r="O37" s="1032"/>
      <c r="P37" s="470"/>
      <c r="Q37" s="470"/>
      <c r="R37" s="604"/>
      <c r="S37" s="903">
        <f>Q37+M37+K37</f>
        <v>0</v>
      </c>
      <c r="T37" s="903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6">
        <f>PIERNA!C38</f>
        <v>0</v>
      </c>
      <c r="D38" s="405">
        <f>PIERNA!D38</f>
        <v>0</v>
      </c>
      <c r="E38" s="510">
        <f>PIERNA!E38</f>
        <v>0</v>
      </c>
      <c r="F38" s="866">
        <f>PIERNA!F38</f>
        <v>0</v>
      </c>
      <c r="G38" s="355">
        <f>PIERNA!G38</f>
        <v>0</v>
      </c>
      <c r="H38" s="883">
        <f>PIERNA!H38</f>
        <v>0</v>
      </c>
      <c r="I38" s="558">
        <f>PIERNA!I38</f>
        <v>0</v>
      </c>
      <c r="J38" s="818"/>
      <c r="K38" s="360"/>
      <c r="L38" s="614"/>
      <c r="M38" s="601"/>
      <c r="N38" s="604"/>
      <c r="O38" s="1032"/>
      <c r="P38" s="470"/>
      <c r="Q38" s="470"/>
      <c r="R38" s="606"/>
      <c r="S38" s="903">
        <f t="shared" si="9"/>
        <v>0</v>
      </c>
      <c r="T38" s="903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67">
        <f>PIERNA!F39</f>
        <v>0</v>
      </c>
      <c r="G39" s="97">
        <f>PIERNA!G39</f>
        <v>0</v>
      </c>
      <c r="H39" s="876">
        <f>PIERNA!H39</f>
        <v>0</v>
      </c>
      <c r="I39" s="102">
        <f>PIERNA!I39</f>
        <v>0</v>
      </c>
      <c r="J39" s="1642"/>
      <c r="K39" s="1643"/>
      <c r="L39" s="614"/>
      <c r="M39" s="601"/>
      <c r="N39" s="604"/>
      <c r="O39" s="1032"/>
      <c r="P39" s="470"/>
      <c r="Q39" s="470"/>
      <c r="R39" s="606"/>
      <c r="S39" s="903">
        <f t="shared" si="9"/>
        <v>0</v>
      </c>
      <c r="T39" s="903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67">
        <f>PIERNA!F40</f>
        <v>0</v>
      </c>
      <c r="G40" s="97">
        <f>PIERNA!G40</f>
        <v>0</v>
      </c>
      <c r="H40" s="876">
        <f>PIERNA!H40</f>
        <v>0</v>
      </c>
      <c r="I40" s="102">
        <f>PIERNA!I40</f>
        <v>0</v>
      </c>
      <c r="J40" s="1644"/>
      <c r="K40" s="1645"/>
      <c r="L40" s="603"/>
      <c r="M40" s="601"/>
      <c r="N40" s="604"/>
      <c r="O40" s="1032"/>
      <c r="P40" s="470"/>
      <c r="Q40" s="470"/>
      <c r="R40" s="606"/>
      <c r="S40" s="903">
        <f>Q40+M40+K40+P40</f>
        <v>0</v>
      </c>
      <c r="T40" s="903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67">
        <f>PIERNA!F41</f>
        <v>0</v>
      </c>
      <c r="G41" s="97">
        <f>PIERNA!G41</f>
        <v>0</v>
      </c>
      <c r="H41" s="876">
        <f>PIERNA!H41</f>
        <v>0</v>
      </c>
      <c r="I41" s="102">
        <f>PIERNA!I41</f>
        <v>0</v>
      </c>
      <c r="J41" s="591"/>
      <c r="K41" s="360"/>
      <c r="L41" s="603"/>
      <c r="M41" s="601"/>
      <c r="N41" s="604"/>
      <c r="O41" s="1032"/>
      <c r="P41" s="470"/>
      <c r="Q41" s="470"/>
      <c r="R41" s="606"/>
      <c r="S41" s="903">
        <f>Q41+M41+K41+P41</f>
        <v>0</v>
      </c>
      <c r="T41" s="903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8">
        <f>PIERNA!C42</f>
        <v>0</v>
      </c>
      <c r="D42" s="161">
        <f>PIERNA!D42</f>
        <v>0</v>
      </c>
      <c r="E42" s="130">
        <f>PIERNA!E42</f>
        <v>0</v>
      </c>
      <c r="F42" s="860">
        <f>PIERNA!F42</f>
        <v>0</v>
      </c>
      <c r="G42" s="97">
        <f>PIERNA!G42</f>
        <v>0</v>
      </c>
      <c r="H42" s="880">
        <f>PIERNA!H42</f>
        <v>0</v>
      </c>
      <c r="I42" s="102">
        <f>PIERNA!I42</f>
        <v>0</v>
      </c>
      <c r="J42" s="591"/>
      <c r="K42" s="601"/>
      <c r="L42" s="603"/>
      <c r="M42" s="601"/>
      <c r="N42" s="604"/>
      <c r="O42" s="1032"/>
      <c r="P42" s="470"/>
      <c r="Q42" s="470"/>
      <c r="R42" s="606"/>
      <c r="S42" s="903">
        <f t="shared" ref="S42:S59" si="10">Q42+M42+K42</f>
        <v>0</v>
      </c>
      <c r="T42" s="903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60">
        <f>PIERNA!F43</f>
        <v>0</v>
      </c>
      <c r="G43" s="97">
        <f>PIERNA!G43</f>
        <v>0</v>
      </c>
      <c r="H43" s="880">
        <f>PIERNA!H43</f>
        <v>0</v>
      </c>
      <c r="I43" s="102">
        <f>PIERNA!I43</f>
        <v>0</v>
      </c>
      <c r="J43" s="591"/>
      <c r="K43" s="601"/>
      <c r="L43" s="603"/>
      <c r="M43" s="601"/>
      <c r="N43" s="604"/>
      <c r="O43" s="1032"/>
      <c r="P43" s="470"/>
      <c r="Q43" s="470"/>
      <c r="R43" s="606"/>
      <c r="S43" s="903">
        <f t="shared" si="10"/>
        <v>0</v>
      </c>
      <c r="T43" s="903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60">
        <f>PIERNA!F44</f>
        <v>0</v>
      </c>
      <c r="G44" s="97">
        <f>PIERNA!G44</f>
        <v>0</v>
      </c>
      <c r="H44" s="880">
        <f>PIERNA!H44</f>
        <v>0</v>
      </c>
      <c r="I44" s="102">
        <f>PIERNA!I44</f>
        <v>0</v>
      </c>
      <c r="J44" s="591"/>
      <c r="K44" s="601"/>
      <c r="L44" s="603"/>
      <c r="M44" s="601"/>
      <c r="N44" s="608"/>
      <c r="O44" s="1032"/>
      <c r="P44" s="470"/>
      <c r="Q44" s="360"/>
      <c r="R44" s="606"/>
      <c r="S44" s="903">
        <f>Q44+M44+K44</f>
        <v>0</v>
      </c>
      <c r="T44" s="903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60">
        <f>PIERNA!F45</f>
        <v>0</v>
      </c>
      <c r="G45" s="97">
        <f>PIERNA!G45</f>
        <v>0</v>
      </c>
      <c r="H45" s="880">
        <f>PIERNA!H45</f>
        <v>0</v>
      </c>
      <c r="I45" s="102">
        <f>PIERNA!I45</f>
        <v>0</v>
      </c>
      <c r="J45" s="591"/>
      <c r="K45" s="601"/>
      <c r="L45" s="603"/>
      <c r="M45" s="601"/>
      <c r="N45" s="608"/>
      <c r="O45" s="1032"/>
      <c r="P45" s="470"/>
      <c r="Q45" s="360"/>
      <c r="R45" s="606"/>
      <c r="S45" s="903">
        <f>Q45+M45+K45</f>
        <v>0</v>
      </c>
      <c r="T45" s="903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60">
        <f>PIERNA!F46</f>
        <v>0</v>
      </c>
      <c r="G46" s="97">
        <f>PIERNA!G46</f>
        <v>0</v>
      </c>
      <c r="H46" s="880">
        <f>PIERNA!H46</f>
        <v>0</v>
      </c>
      <c r="I46" s="102">
        <f>PIERNA!I46</f>
        <v>0</v>
      </c>
      <c r="J46" s="591"/>
      <c r="K46" s="601"/>
      <c r="L46" s="603"/>
      <c r="M46" s="601"/>
      <c r="N46" s="608"/>
      <c r="O46" s="1032"/>
      <c r="P46" s="470"/>
      <c r="Q46" s="360"/>
      <c r="R46" s="606"/>
      <c r="S46" s="903">
        <f>Q46+M46+K46</f>
        <v>0</v>
      </c>
      <c r="T46" s="903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60">
        <f>PIERNA!F47</f>
        <v>0</v>
      </c>
      <c r="G47" s="97">
        <f>PIERNA!G47</f>
        <v>0</v>
      </c>
      <c r="H47" s="880">
        <f>PIERNA!H47</f>
        <v>0</v>
      </c>
      <c r="I47" s="102">
        <f>PIERNA!I47</f>
        <v>0</v>
      </c>
      <c r="J47" s="591"/>
      <c r="K47" s="601"/>
      <c r="L47" s="603"/>
      <c r="M47" s="738"/>
      <c r="N47" s="608"/>
      <c r="O47" s="1033"/>
      <c r="P47" s="470"/>
      <c r="Q47" s="360"/>
      <c r="R47" s="606"/>
      <c r="S47" s="903">
        <f>Q47+M47+K47</f>
        <v>0</v>
      </c>
      <c r="T47" s="903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60">
        <f>PIERNA!F48</f>
        <v>0</v>
      </c>
      <c r="G48" s="97">
        <f>PIERNA!G48</f>
        <v>0</v>
      </c>
      <c r="H48" s="880">
        <f>PIERNA!H48</f>
        <v>0</v>
      </c>
      <c r="I48" s="102">
        <f>PIERNA!I48</f>
        <v>0</v>
      </c>
      <c r="J48" s="591"/>
      <c r="K48" s="601"/>
      <c r="L48" s="603"/>
      <c r="M48" s="739"/>
      <c r="N48" s="608"/>
      <c r="O48" s="1032"/>
      <c r="P48" s="470"/>
      <c r="Q48" s="360"/>
      <c r="R48" s="606"/>
      <c r="S48" s="903">
        <f>Q48+M48+K48</f>
        <v>0</v>
      </c>
      <c r="T48" s="903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60">
        <f>PIERNA!F49</f>
        <v>0</v>
      </c>
      <c r="G49" s="97">
        <f>PIERNA!G49</f>
        <v>0</v>
      </c>
      <c r="H49" s="880">
        <f>PIERNA!H49</f>
        <v>0</v>
      </c>
      <c r="I49" s="102">
        <f>PIERNA!I49</f>
        <v>0</v>
      </c>
      <c r="J49" s="591"/>
      <c r="K49" s="601"/>
      <c r="L49" s="603"/>
      <c r="M49" s="739"/>
      <c r="N49" s="608"/>
      <c r="O49" s="1032"/>
      <c r="P49" s="470"/>
      <c r="Q49" s="360"/>
      <c r="R49" s="606"/>
      <c r="S49" s="903">
        <f t="shared" ref="S49:S53" si="13">Q49+M49+K49</f>
        <v>0</v>
      </c>
      <c r="T49" s="903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60">
        <f>PIERNA!F50</f>
        <v>0</v>
      </c>
      <c r="G50" s="97">
        <f>PIERNA!G50</f>
        <v>0</v>
      </c>
      <c r="H50" s="880">
        <f>PIERNA!H50</f>
        <v>0</v>
      </c>
      <c r="I50" s="102">
        <f>PIERNA!I50</f>
        <v>0</v>
      </c>
      <c r="J50" s="591"/>
      <c r="K50" s="601"/>
      <c r="L50" s="603"/>
      <c r="M50" s="739"/>
      <c r="N50" s="608"/>
      <c r="O50" s="1032"/>
      <c r="P50" s="470"/>
      <c r="Q50" s="360"/>
      <c r="R50" s="606"/>
      <c r="S50" s="903">
        <f t="shared" si="13"/>
        <v>0</v>
      </c>
      <c r="T50" s="903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60">
        <f>PIERNA!F51</f>
        <v>0</v>
      </c>
      <c r="G51" s="97">
        <f>PIERNA!G51</f>
        <v>0</v>
      </c>
      <c r="H51" s="880">
        <f>PIERNA!H51</f>
        <v>0</v>
      </c>
      <c r="I51" s="102">
        <f>PIERNA!I51</f>
        <v>0</v>
      </c>
      <c r="J51" s="591"/>
      <c r="K51" s="601"/>
      <c r="L51" s="603"/>
      <c r="M51" s="739"/>
      <c r="N51" s="608"/>
      <c r="O51" s="1032"/>
      <c r="P51" s="779"/>
      <c r="Q51" s="360"/>
      <c r="R51" s="606"/>
      <c r="S51" s="903">
        <f t="shared" si="13"/>
        <v>0</v>
      </c>
      <c r="T51" s="903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60">
        <f>PIERNA!F52</f>
        <v>0</v>
      </c>
      <c r="G52" s="97">
        <f>PIERNA!G52</f>
        <v>0</v>
      </c>
      <c r="H52" s="880">
        <f>PIERNA!H52</f>
        <v>0</v>
      </c>
      <c r="I52" s="102">
        <f>PIERNA!I52</f>
        <v>0</v>
      </c>
      <c r="J52" s="591"/>
      <c r="K52" s="601"/>
      <c r="L52" s="603"/>
      <c r="M52" s="739"/>
      <c r="N52" s="608"/>
      <c r="O52" s="1032"/>
      <c r="P52" s="470"/>
      <c r="Q52" s="360"/>
      <c r="R52" s="740"/>
      <c r="S52" s="903">
        <f t="shared" si="13"/>
        <v>0</v>
      </c>
      <c r="T52" s="903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60">
        <f>PIERNA!SL5</f>
        <v>0</v>
      </c>
      <c r="G53" s="97">
        <f>PIERNA!SM5</f>
        <v>0</v>
      </c>
      <c r="H53" s="880">
        <f>PIERNA!SN5</f>
        <v>0</v>
      </c>
      <c r="I53" s="102">
        <f>PIERNA!I53</f>
        <v>0</v>
      </c>
      <c r="J53" s="591"/>
      <c r="K53" s="601"/>
      <c r="L53" s="603"/>
      <c r="M53" s="739"/>
      <c r="N53" s="608"/>
      <c r="O53" s="1032"/>
      <c r="P53" s="470"/>
      <c r="Q53" s="360"/>
      <c r="R53" s="740"/>
      <c r="S53" s="903">
        <f t="shared" si="13"/>
        <v>0</v>
      </c>
      <c r="T53" s="903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60">
        <f>PIERNA!F53</f>
        <v>0</v>
      </c>
      <c r="G54" s="97">
        <f>PIERNA!G53</f>
        <v>0</v>
      </c>
      <c r="H54" s="880">
        <f>PIERNA!H53</f>
        <v>0</v>
      </c>
      <c r="I54" s="102">
        <f>PIERNA!I54</f>
        <v>0</v>
      </c>
      <c r="J54" s="591"/>
      <c r="K54" s="601"/>
      <c r="L54" s="603"/>
      <c r="M54" s="739"/>
      <c r="N54" s="608"/>
      <c r="O54" s="1032"/>
      <c r="P54" s="470"/>
      <c r="Q54" s="360"/>
      <c r="R54" s="740"/>
      <c r="S54" s="903">
        <f t="shared" si="10"/>
        <v>0</v>
      </c>
      <c r="T54" s="903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68">
        <f>PIERNA!TF5</f>
        <v>0</v>
      </c>
      <c r="G55" s="97">
        <f>PIERNA!TG5</f>
        <v>0</v>
      </c>
      <c r="H55" s="880">
        <f>PIERNA!TH5</f>
        <v>0</v>
      </c>
      <c r="I55" s="102">
        <f>PIERNA!I55</f>
        <v>0</v>
      </c>
      <c r="J55" s="591"/>
      <c r="K55" s="601"/>
      <c r="L55" s="603"/>
      <c r="M55" s="739"/>
      <c r="N55" s="608"/>
      <c r="O55" s="1032"/>
      <c r="P55" s="470"/>
      <c r="Q55" s="360"/>
      <c r="R55" s="740"/>
      <c r="S55" s="903">
        <f t="shared" si="10"/>
        <v>0</v>
      </c>
      <c r="T55" s="903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60">
        <f>PIERNA!TP5</f>
        <v>0</v>
      </c>
      <c r="G56" s="97">
        <f>PIERNA!TQ5</f>
        <v>0</v>
      </c>
      <c r="H56" s="880">
        <f>PIERNA!TR5</f>
        <v>0</v>
      </c>
      <c r="I56" s="102">
        <f>PIERNA!I56</f>
        <v>0</v>
      </c>
      <c r="J56" s="591"/>
      <c r="K56" s="601"/>
      <c r="L56" s="603"/>
      <c r="M56" s="739"/>
      <c r="N56" s="608"/>
      <c r="O56" s="1032"/>
      <c r="P56" s="470"/>
      <c r="Q56" s="360"/>
      <c r="R56" s="740"/>
      <c r="S56" s="903">
        <f t="shared" si="10"/>
        <v>0</v>
      </c>
      <c r="T56" s="903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60">
        <f>PIERNA!F57</f>
        <v>0</v>
      </c>
      <c r="G57" s="158">
        <f>PIERNA!G57</f>
        <v>0</v>
      </c>
      <c r="H57" s="880">
        <f>PIERNA!H57</f>
        <v>0</v>
      </c>
      <c r="I57" s="102">
        <f>PIERNA!I57</f>
        <v>0</v>
      </c>
      <c r="J57" s="591"/>
      <c r="K57" s="601"/>
      <c r="L57" s="603"/>
      <c r="M57" s="739"/>
      <c r="N57" s="608"/>
      <c r="O57" s="1032"/>
      <c r="P57" s="470"/>
      <c r="Q57" s="360"/>
      <c r="R57" s="740"/>
      <c r="S57" s="903">
        <f t="shared" si="10"/>
        <v>0</v>
      </c>
      <c r="T57" s="903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60">
        <f>PIERNA!F58</f>
        <v>0</v>
      </c>
      <c r="G58" s="97">
        <f>PIERNA!G58</f>
        <v>0</v>
      </c>
      <c r="H58" s="880">
        <f>PIERNA!H58</f>
        <v>0</v>
      </c>
      <c r="I58" s="102">
        <f>PIERNA!I58</f>
        <v>0</v>
      </c>
      <c r="J58" s="591"/>
      <c r="K58" s="601"/>
      <c r="L58" s="603"/>
      <c r="M58" s="739"/>
      <c r="N58" s="608"/>
      <c r="O58" s="1032"/>
      <c r="P58" s="470"/>
      <c r="Q58" s="360"/>
      <c r="R58" s="740"/>
      <c r="S58" s="903">
        <f t="shared" si="10"/>
        <v>0</v>
      </c>
      <c r="T58" s="903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60">
        <f>PIERNA!F59</f>
        <v>0</v>
      </c>
      <c r="G59" s="97">
        <f>PIERNA!G59</f>
        <v>0</v>
      </c>
      <c r="H59" s="880">
        <f>PIERNA!H59</f>
        <v>0</v>
      </c>
      <c r="I59" s="102">
        <f>PIERNA!I59</f>
        <v>0</v>
      </c>
      <c r="J59" s="591"/>
      <c r="K59" s="601"/>
      <c r="L59" s="603"/>
      <c r="M59" s="739"/>
      <c r="N59" s="608"/>
      <c r="O59" s="1032"/>
      <c r="P59" s="470"/>
      <c r="Q59" s="360"/>
      <c r="R59" s="740"/>
      <c r="S59" s="903">
        <f t="shared" si="10"/>
        <v>0</v>
      </c>
      <c r="T59" s="903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60">
        <f>PIERNA!F60</f>
        <v>0</v>
      </c>
      <c r="G60" s="97">
        <f>PIERNA!G60</f>
        <v>0</v>
      </c>
      <c r="H60" s="880">
        <f>PIERNA!H60</f>
        <v>0</v>
      </c>
      <c r="I60" s="102">
        <f>PIERNA!I60</f>
        <v>0</v>
      </c>
      <c r="J60" s="591"/>
      <c r="K60" s="767"/>
      <c r="L60" s="701"/>
      <c r="M60" s="739"/>
      <c r="N60" s="608"/>
      <c r="O60" s="1032"/>
      <c r="P60" s="470"/>
      <c r="Q60" s="360"/>
      <c r="R60" s="740"/>
      <c r="S60" s="903">
        <f>Q60+M60+L60</f>
        <v>0</v>
      </c>
      <c r="T60" s="903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60">
        <f>PIERNA!F61</f>
        <v>0</v>
      </c>
      <c r="G61" s="97">
        <f>PIERNA!G61</f>
        <v>0</v>
      </c>
      <c r="H61" s="880">
        <f>PIERNA!H61</f>
        <v>0</v>
      </c>
      <c r="I61" s="102">
        <f>PIERNA!I61</f>
        <v>0</v>
      </c>
      <c r="J61" s="591"/>
      <c r="K61" s="601"/>
      <c r="L61" s="603"/>
      <c r="M61" s="739"/>
      <c r="N61" s="608"/>
      <c r="O61" s="1032"/>
      <c r="P61" s="470"/>
      <c r="Q61" s="360"/>
      <c r="R61" s="740"/>
      <c r="S61" s="903">
        <f t="shared" ref="S61:S71" si="14">Q61+M61+K61</f>
        <v>0</v>
      </c>
      <c r="T61" s="903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60">
        <f>PIERNA!F62</f>
        <v>0</v>
      </c>
      <c r="G62" s="156">
        <f>PIERNA!G62</f>
        <v>0</v>
      </c>
      <c r="H62" s="880">
        <f>PIERNA!H62</f>
        <v>0</v>
      </c>
      <c r="I62" s="102">
        <f>PIERNA!I62</f>
        <v>0</v>
      </c>
      <c r="J62" s="591"/>
      <c r="K62" s="601"/>
      <c r="L62" s="603"/>
      <c r="M62" s="739"/>
      <c r="N62" s="608"/>
      <c r="O62" s="1032"/>
      <c r="P62" s="470"/>
      <c r="Q62" s="360"/>
      <c r="R62" s="740"/>
      <c r="S62" s="903">
        <f t="shared" si="14"/>
        <v>0</v>
      </c>
      <c r="T62" s="903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60">
        <f>PIERNA!F63</f>
        <v>0</v>
      </c>
      <c r="G63" s="156">
        <f>PIERNA!G63</f>
        <v>0</v>
      </c>
      <c r="H63" s="880">
        <f>PIERNA!H63</f>
        <v>0</v>
      </c>
      <c r="I63" s="102">
        <f>PIERNA!I63</f>
        <v>0</v>
      </c>
      <c r="J63" s="591"/>
      <c r="K63" s="601"/>
      <c r="L63" s="603"/>
      <c r="M63" s="739"/>
      <c r="N63" s="608"/>
      <c r="O63" s="1032"/>
      <c r="P63" s="470"/>
      <c r="Q63" s="360"/>
      <c r="R63" s="740"/>
      <c r="S63" s="903">
        <f t="shared" si="14"/>
        <v>0</v>
      </c>
      <c r="T63" s="903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60">
        <f>PIERNA!F64</f>
        <v>0</v>
      </c>
      <c r="G64" s="156">
        <f>PIERNA!G64</f>
        <v>0</v>
      </c>
      <c r="H64" s="880">
        <f>PIERNA!H64</f>
        <v>0</v>
      </c>
      <c r="I64" s="102">
        <f>PIERNA!I64</f>
        <v>0</v>
      </c>
      <c r="J64" s="591"/>
      <c r="K64" s="601"/>
      <c r="L64" s="603"/>
      <c r="M64" s="739"/>
      <c r="N64" s="608"/>
      <c r="O64" s="1032"/>
      <c r="P64" s="470"/>
      <c r="Q64" s="360"/>
      <c r="R64" s="740"/>
      <c r="S64" s="903">
        <f t="shared" si="14"/>
        <v>0</v>
      </c>
      <c r="T64" s="903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60">
        <f>PIERNA!F65</f>
        <v>0</v>
      </c>
      <c r="G65" s="156">
        <f>PIERNA!G65</f>
        <v>0</v>
      </c>
      <c r="H65" s="880">
        <f>PIERNA!H65</f>
        <v>0</v>
      </c>
      <c r="I65" s="102">
        <f>PIERNA!I65</f>
        <v>0</v>
      </c>
      <c r="J65" s="591"/>
      <c r="K65" s="601"/>
      <c r="L65" s="603"/>
      <c r="M65" s="739"/>
      <c r="N65" s="608"/>
      <c r="O65" s="1032"/>
      <c r="P65" s="470"/>
      <c r="Q65" s="360"/>
      <c r="R65" s="740"/>
      <c r="S65" s="903">
        <f t="shared" si="14"/>
        <v>0</v>
      </c>
      <c r="T65" s="903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60">
        <f>PIERNA!F61</f>
        <v>0</v>
      </c>
      <c r="G66" s="156">
        <f>PIERNA!G61</f>
        <v>0</v>
      </c>
      <c r="H66" s="880">
        <f>PIERNA!H61</f>
        <v>0</v>
      </c>
      <c r="I66" s="102">
        <f>PIERNA!I66</f>
        <v>0</v>
      </c>
      <c r="J66" s="591"/>
      <c r="K66" s="601"/>
      <c r="L66" s="603"/>
      <c r="M66" s="739"/>
      <c r="N66" s="608"/>
      <c r="O66" s="1032"/>
      <c r="P66" s="470"/>
      <c r="Q66" s="360"/>
      <c r="R66" s="740"/>
      <c r="S66" s="903">
        <f t="shared" si="14"/>
        <v>0</v>
      </c>
      <c r="T66" s="903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60">
        <f>PIERNA!F62</f>
        <v>0</v>
      </c>
      <c r="G67" s="156">
        <f>PIERNA!G62</f>
        <v>0</v>
      </c>
      <c r="H67" s="880">
        <f>PIERNA!H62</f>
        <v>0</v>
      </c>
      <c r="I67" s="102">
        <f>PIERNA!I67</f>
        <v>0</v>
      </c>
      <c r="J67" s="591"/>
      <c r="K67" s="601"/>
      <c r="L67" s="603"/>
      <c r="M67" s="739"/>
      <c r="N67" s="608"/>
      <c r="O67" s="1032"/>
      <c r="P67" s="470"/>
      <c r="Q67" s="360"/>
      <c r="R67" s="740"/>
      <c r="S67" s="903">
        <f t="shared" si="14"/>
        <v>0</v>
      </c>
      <c r="T67" s="903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60">
        <f>PIERNA!F63</f>
        <v>0</v>
      </c>
      <c r="G68" s="156">
        <f>PIERNA!G63</f>
        <v>0</v>
      </c>
      <c r="H68" s="880">
        <f>PIERNA!H63</f>
        <v>0</v>
      </c>
      <c r="I68" s="102">
        <f>PIERNA!I68</f>
        <v>0</v>
      </c>
      <c r="J68" s="591"/>
      <c r="K68" s="601"/>
      <c r="L68" s="603"/>
      <c r="M68" s="739"/>
      <c r="N68" s="608"/>
      <c r="O68" s="1032"/>
      <c r="P68" s="470"/>
      <c r="Q68" s="360"/>
      <c r="R68" s="740"/>
      <c r="S68" s="903">
        <f t="shared" si="14"/>
        <v>0</v>
      </c>
      <c r="T68" s="903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60">
        <f>PIERNA!F64</f>
        <v>0</v>
      </c>
      <c r="G69" s="156">
        <f>PIERNA!G64</f>
        <v>0</v>
      </c>
      <c r="H69" s="880">
        <f>PIERNA!H64</f>
        <v>0</v>
      </c>
      <c r="I69" s="102">
        <f>PIERNA!I69</f>
        <v>0</v>
      </c>
      <c r="J69" s="591"/>
      <c r="K69" s="601"/>
      <c r="L69" s="603"/>
      <c r="M69" s="739"/>
      <c r="N69" s="608"/>
      <c r="O69" s="1032"/>
      <c r="P69" s="470"/>
      <c r="Q69" s="360"/>
      <c r="R69" s="740"/>
      <c r="S69" s="903">
        <f t="shared" si="14"/>
        <v>0</v>
      </c>
      <c r="T69" s="903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60">
        <f>PIERNA!F65</f>
        <v>0</v>
      </c>
      <c r="G70" s="156">
        <f>PIERNA!G65</f>
        <v>0</v>
      </c>
      <c r="H70" s="880">
        <f>PIERNA!H65</f>
        <v>0</v>
      </c>
      <c r="I70" s="102">
        <f>PIERNA!I70</f>
        <v>0</v>
      </c>
      <c r="J70" s="698"/>
      <c r="K70" s="601"/>
      <c r="L70" s="603"/>
      <c r="M70" s="739"/>
      <c r="N70" s="608"/>
      <c r="O70" s="1032"/>
      <c r="P70" s="470"/>
      <c r="Q70" s="360"/>
      <c r="R70" s="740"/>
      <c r="S70" s="903">
        <f t="shared" si="14"/>
        <v>0</v>
      </c>
      <c r="T70" s="903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60">
        <f>PIERNA!F66</f>
        <v>0</v>
      </c>
      <c r="G71" s="156">
        <f>PIERNA!G66</f>
        <v>0</v>
      </c>
      <c r="H71" s="880">
        <f>PIERNA!H66</f>
        <v>0</v>
      </c>
      <c r="I71" s="102">
        <f>PIERNA!I71</f>
        <v>0</v>
      </c>
      <c r="J71" s="698"/>
      <c r="K71" s="601"/>
      <c r="L71" s="603"/>
      <c r="M71" s="739"/>
      <c r="N71" s="608"/>
      <c r="O71" s="1032"/>
      <c r="P71" s="470"/>
      <c r="Q71" s="360"/>
      <c r="R71" s="740"/>
      <c r="S71" s="903">
        <f t="shared" si="14"/>
        <v>0</v>
      </c>
      <c r="T71" s="903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60">
        <f>PIERNA!F67</f>
        <v>0</v>
      </c>
      <c r="G72" s="156">
        <f>PIERNA!G67</f>
        <v>0</v>
      </c>
      <c r="H72" s="880">
        <f>PIERNA!H67</f>
        <v>0</v>
      </c>
      <c r="I72" s="102">
        <f>PIERNA!I72</f>
        <v>0</v>
      </c>
      <c r="J72" s="698"/>
      <c r="K72" s="601"/>
      <c r="L72" s="603"/>
      <c r="M72" s="739"/>
      <c r="N72" s="608"/>
      <c r="O72" s="1032"/>
      <c r="P72" s="470"/>
      <c r="Q72" s="360"/>
      <c r="R72" s="740"/>
      <c r="S72" s="903">
        <f t="shared" ref="S72:S153" si="15">Q72+M72+K72</f>
        <v>0</v>
      </c>
      <c r="T72" s="903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60">
        <f>PIERNA!F68</f>
        <v>0</v>
      </c>
      <c r="G73" s="156">
        <f>PIERNA!G68</f>
        <v>0</v>
      </c>
      <c r="H73" s="880">
        <f>PIERNA!H68</f>
        <v>0</v>
      </c>
      <c r="I73" s="102">
        <f>PIERNA!I73</f>
        <v>0</v>
      </c>
      <c r="J73" s="698"/>
      <c r="K73" s="601"/>
      <c r="L73" s="603"/>
      <c r="M73" s="739"/>
      <c r="N73" s="608"/>
      <c r="O73" s="1032"/>
      <c r="P73" s="470"/>
      <c r="Q73" s="360"/>
      <c r="R73" s="740"/>
      <c r="S73" s="903">
        <f t="shared" si="15"/>
        <v>0</v>
      </c>
      <c r="T73" s="903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60">
        <f>PIERNA!F69</f>
        <v>0</v>
      </c>
      <c r="G74" s="156">
        <f>PIERNA!G69</f>
        <v>0</v>
      </c>
      <c r="H74" s="880">
        <f>PIERNA!H69</f>
        <v>0</v>
      </c>
      <c r="I74" s="102">
        <f>PIERNA!I74</f>
        <v>0</v>
      </c>
      <c r="J74" s="698"/>
      <c r="K74" s="601"/>
      <c r="L74" s="603"/>
      <c r="M74" s="739"/>
      <c r="N74" s="608"/>
      <c r="O74" s="1032"/>
      <c r="P74" s="470"/>
      <c r="Q74" s="360"/>
      <c r="R74" s="740"/>
      <c r="S74" s="903">
        <f t="shared" si="15"/>
        <v>0</v>
      </c>
      <c r="T74" s="903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60">
        <f>PIERNA!F70</f>
        <v>0</v>
      </c>
      <c r="G75" s="156">
        <f>PIERNA!G70</f>
        <v>0</v>
      </c>
      <c r="H75" s="880">
        <f>PIERNA!H70</f>
        <v>0</v>
      </c>
      <c r="I75" s="102">
        <f>PIERNA!I75</f>
        <v>0</v>
      </c>
      <c r="J75" s="698"/>
      <c r="K75" s="601"/>
      <c r="L75" s="603"/>
      <c r="M75" s="739"/>
      <c r="N75" s="608"/>
      <c r="O75" s="1032"/>
      <c r="P75" s="470"/>
      <c r="Q75" s="360"/>
      <c r="R75" s="740"/>
      <c r="S75" s="903">
        <f t="shared" si="15"/>
        <v>0</v>
      </c>
      <c r="T75" s="903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60">
        <f>PIERNA!F71</f>
        <v>0</v>
      </c>
      <c r="G76" s="156">
        <f>PIERNA!G71</f>
        <v>0</v>
      </c>
      <c r="H76" s="880">
        <f>PIERNA!H71</f>
        <v>0</v>
      </c>
      <c r="I76" s="102">
        <f>PIERNA!I76</f>
        <v>0</v>
      </c>
      <c r="J76" s="698"/>
      <c r="K76" s="601"/>
      <c r="L76" s="603"/>
      <c r="M76" s="739"/>
      <c r="N76" s="608"/>
      <c r="O76" s="1032"/>
      <c r="P76" s="470"/>
      <c r="Q76" s="360"/>
      <c r="R76" s="740"/>
      <c r="S76" s="903">
        <f t="shared" si="15"/>
        <v>0</v>
      </c>
      <c r="T76" s="903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60">
        <f>PIERNA!F72</f>
        <v>0</v>
      </c>
      <c r="G77" s="156">
        <f>PIERNA!G72</f>
        <v>0</v>
      </c>
      <c r="H77" s="880">
        <f>PIERNA!H72</f>
        <v>0</v>
      </c>
      <c r="I77" s="102">
        <f>PIERNA!I77</f>
        <v>0</v>
      </c>
      <c r="J77" s="698"/>
      <c r="K77" s="601"/>
      <c r="L77" s="603"/>
      <c r="M77" s="739"/>
      <c r="N77" s="608"/>
      <c r="O77" s="1032"/>
      <c r="P77" s="470"/>
      <c r="Q77" s="360"/>
      <c r="R77" s="740"/>
      <c r="S77" s="903">
        <f t="shared" si="15"/>
        <v>0</v>
      </c>
      <c r="T77" s="903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60">
        <f>PIERNA!F73</f>
        <v>0</v>
      </c>
      <c r="G78" s="156">
        <f>PIERNA!G73</f>
        <v>0</v>
      </c>
      <c r="H78" s="880">
        <f>PIERNA!H73</f>
        <v>0</v>
      </c>
      <c r="I78" s="102">
        <f>PIERNA!I78</f>
        <v>0</v>
      </c>
      <c r="J78" s="698"/>
      <c r="K78" s="601"/>
      <c r="L78" s="603"/>
      <c r="M78" s="739"/>
      <c r="N78" s="608"/>
      <c r="O78" s="1032"/>
      <c r="P78" s="470"/>
      <c r="Q78" s="360"/>
      <c r="R78" s="740"/>
      <c r="S78" s="903">
        <f t="shared" si="15"/>
        <v>0</v>
      </c>
      <c r="T78" s="903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60">
        <f>PIERNA!F74</f>
        <v>0</v>
      </c>
      <c r="G79" s="156">
        <f>PIERNA!G74</f>
        <v>0</v>
      </c>
      <c r="H79" s="880">
        <f>PIERNA!H74</f>
        <v>0</v>
      </c>
      <c r="I79" s="102">
        <f>PIERNA!I79</f>
        <v>0</v>
      </c>
      <c r="J79" s="698"/>
      <c r="K79" s="601"/>
      <c r="L79" s="603"/>
      <c r="M79" s="739"/>
      <c r="N79" s="608"/>
      <c r="O79" s="1032"/>
      <c r="P79" s="470"/>
      <c r="Q79" s="360"/>
      <c r="R79" s="740"/>
      <c r="S79" s="903">
        <f t="shared" si="15"/>
        <v>0</v>
      </c>
      <c r="T79" s="903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60">
        <f>PIERNA!F75</f>
        <v>0</v>
      </c>
      <c r="G80" s="156">
        <f>PIERNA!G75</f>
        <v>0</v>
      </c>
      <c r="H80" s="880">
        <f>PIERNA!H75</f>
        <v>0</v>
      </c>
      <c r="I80" s="102">
        <f>PIERNA!I80</f>
        <v>0</v>
      </c>
      <c r="J80" s="698"/>
      <c r="K80" s="601"/>
      <c r="L80" s="603"/>
      <c r="M80" s="739"/>
      <c r="N80" s="608"/>
      <c r="O80" s="1032"/>
      <c r="P80" s="470"/>
      <c r="Q80" s="360"/>
      <c r="R80" s="740"/>
      <c r="S80" s="903">
        <f t="shared" si="15"/>
        <v>0</v>
      </c>
      <c r="T80" s="903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60">
        <f>PIERNA!F76</f>
        <v>0</v>
      </c>
      <c r="G81" s="156">
        <f>PIERNA!G76</f>
        <v>0</v>
      </c>
      <c r="H81" s="880">
        <f>PIERNA!H76</f>
        <v>0</v>
      </c>
      <c r="I81" s="102">
        <f>PIERNA!I81</f>
        <v>0</v>
      </c>
      <c r="J81" s="698"/>
      <c r="K81" s="601"/>
      <c r="L81" s="603"/>
      <c r="M81" s="739"/>
      <c r="N81" s="608"/>
      <c r="O81" s="1032"/>
      <c r="P81" s="470"/>
      <c r="Q81" s="360"/>
      <c r="R81" s="740"/>
      <c r="S81" s="903">
        <f t="shared" si="15"/>
        <v>0</v>
      </c>
      <c r="T81" s="903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60">
        <f>PIERNA!F77</f>
        <v>0</v>
      </c>
      <c r="G82" s="156">
        <f>PIERNA!G77</f>
        <v>0</v>
      </c>
      <c r="H82" s="880">
        <f>PIERNA!H77</f>
        <v>0</v>
      </c>
      <c r="I82" s="102">
        <f>PIERNA!I82</f>
        <v>0</v>
      </c>
      <c r="J82" s="698"/>
      <c r="K82" s="601"/>
      <c r="L82" s="603"/>
      <c r="M82" s="739"/>
      <c r="N82" s="608"/>
      <c r="O82" s="1032"/>
      <c r="P82" s="470"/>
      <c r="Q82" s="360"/>
      <c r="R82" s="740"/>
      <c r="S82" s="903">
        <f t="shared" si="15"/>
        <v>0</v>
      </c>
      <c r="T82" s="903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60">
        <f>PIERNA!F78</f>
        <v>0</v>
      </c>
      <c r="G83" s="156">
        <f>PIERNA!G78</f>
        <v>0</v>
      </c>
      <c r="H83" s="880">
        <f>PIERNA!H78</f>
        <v>0</v>
      </c>
      <c r="I83" s="102">
        <f>PIERNA!I83</f>
        <v>0</v>
      </c>
      <c r="J83" s="698"/>
      <c r="K83" s="601"/>
      <c r="L83" s="603"/>
      <c r="M83" s="739"/>
      <c r="N83" s="608"/>
      <c r="O83" s="1032"/>
      <c r="P83" s="470"/>
      <c r="Q83" s="360"/>
      <c r="R83" s="740"/>
      <c r="S83" s="903">
        <f t="shared" si="15"/>
        <v>0</v>
      </c>
      <c r="T83" s="903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60">
        <f>PIERNA!F79</f>
        <v>0</v>
      </c>
      <c r="G84" s="156">
        <f>PIERNA!G79</f>
        <v>0</v>
      </c>
      <c r="H84" s="880">
        <f>PIERNA!H79</f>
        <v>0</v>
      </c>
      <c r="I84" s="102">
        <f>PIERNA!I84</f>
        <v>0</v>
      </c>
      <c r="J84" s="698"/>
      <c r="K84" s="601"/>
      <c r="L84" s="603"/>
      <c r="M84" s="739"/>
      <c r="N84" s="608"/>
      <c r="O84" s="1032"/>
      <c r="P84" s="470"/>
      <c r="Q84" s="360"/>
      <c r="R84" s="740"/>
      <c r="S84" s="903">
        <f t="shared" si="15"/>
        <v>0</v>
      </c>
      <c r="T84" s="903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60">
        <f>PIERNA!F80</f>
        <v>0</v>
      </c>
      <c r="G85" s="156">
        <f>PIERNA!G80</f>
        <v>0</v>
      </c>
      <c r="H85" s="880">
        <f>PIERNA!H80</f>
        <v>0</v>
      </c>
      <c r="I85" s="102">
        <f>PIERNA!I85</f>
        <v>0</v>
      </c>
      <c r="J85" s="698"/>
      <c r="K85" s="601"/>
      <c r="L85" s="603"/>
      <c r="M85" s="739"/>
      <c r="N85" s="608"/>
      <c r="O85" s="1032"/>
      <c r="P85" s="470"/>
      <c r="Q85" s="360"/>
      <c r="R85" s="740"/>
      <c r="S85" s="903">
        <f t="shared" si="15"/>
        <v>0</v>
      </c>
      <c r="T85" s="903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60">
        <f>PIERNA!F81</f>
        <v>0</v>
      </c>
      <c r="G86" s="156">
        <f>PIERNA!G81</f>
        <v>0</v>
      </c>
      <c r="H86" s="880">
        <f>PIERNA!H81</f>
        <v>0</v>
      </c>
      <c r="I86" s="102">
        <f>PIERNA!I86</f>
        <v>0</v>
      </c>
      <c r="J86" s="698"/>
      <c r="K86" s="601"/>
      <c r="L86" s="603"/>
      <c r="M86" s="739"/>
      <c r="N86" s="608"/>
      <c r="O86" s="1032"/>
      <c r="P86" s="470"/>
      <c r="Q86" s="360"/>
      <c r="R86" s="740"/>
      <c r="S86" s="903">
        <f t="shared" si="15"/>
        <v>0</v>
      </c>
      <c r="T86" s="903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60">
        <f>PIERNA!F82</f>
        <v>0</v>
      </c>
      <c r="G87" s="156">
        <f>PIERNA!G82</f>
        <v>0</v>
      </c>
      <c r="H87" s="880">
        <f>PIERNA!H82</f>
        <v>0</v>
      </c>
      <c r="I87" s="102">
        <f>PIERNA!I87</f>
        <v>0</v>
      </c>
      <c r="J87" s="698"/>
      <c r="K87" s="601"/>
      <c r="L87" s="603"/>
      <c r="M87" s="739"/>
      <c r="N87" s="608"/>
      <c r="O87" s="1032"/>
      <c r="P87" s="470"/>
      <c r="Q87" s="360"/>
      <c r="R87" s="740"/>
      <c r="S87" s="903">
        <f t="shared" si="15"/>
        <v>0</v>
      </c>
      <c r="T87" s="903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60">
        <f>PIERNA!F83</f>
        <v>0</v>
      </c>
      <c r="G88" s="156">
        <f>PIERNA!G83</f>
        <v>0</v>
      </c>
      <c r="H88" s="880">
        <f>PIERNA!H83</f>
        <v>0</v>
      </c>
      <c r="I88" s="102">
        <f>PIERNA!I88</f>
        <v>0</v>
      </c>
      <c r="J88" s="698"/>
      <c r="K88" s="601"/>
      <c r="L88" s="603"/>
      <c r="M88" s="739"/>
      <c r="N88" s="608"/>
      <c r="O88" s="1032"/>
      <c r="P88" s="470"/>
      <c r="Q88" s="360"/>
      <c r="R88" s="740"/>
      <c r="S88" s="903">
        <f t="shared" si="15"/>
        <v>0</v>
      </c>
      <c r="T88" s="903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60">
        <f>PIERNA!F84</f>
        <v>0</v>
      </c>
      <c r="G89" s="156">
        <f>PIERNA!G84</f>
        <v>0</v>
      </c>
      <c r="H89" s="880">
        <f>PIERNA!H84</f>
        <v>0</v>
      </c>
      <c r="I89" s="102">
        <f>PIERNA!I89</f>
        <v>0</v>
      </c>
      <c r="J89" s="698"/>
      <c r="K89" s="601"/>
      <c r="L89" s="603"/>
      <c r="M89" s="739"/>
      <c r="N89" s="608"/>
      <c r="O89" s="1032"/>
      <c r="P89" s="470"/>
      <c r="Q89" s="360"/>
      <c r="R89" s="740"/>
      <c r="S89" s="903">
        <f t="shared" si="15"/>
        <v>0</v>
      </c>
      <c r="T89" s="903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60">
        <f>PIERNA!F85</f>
        <v>0</v>
      </c>
      <c r="G90" s="156">
        <f>PIERNA!G85</f>
        <v>0</v>
      </c>
      <c r="H90" s="880">
        <f>PIERNA!H85</f>
        <v>0</v>
      </c>
      <c r="I90" s="102">
        <f>PIERNA!I90</f>
        <v>0</v>
      </c>
      <c r="J90" s="698"/>
      <c r="K90" s="601"/>
      <c r="L90" s="603"/>
      <c r="M90" s="739"/>
      <c r="N90" s="608"/>
      <c r="O90" s="1032"/>
      <c r="P90" s="470"/>
      <c r="Q90" s="360"/>
      <c r="R90" s="740"/>
      <c r="S90" s="903">
        <f t="shared" si="15"/>
        <v>0</v>
      </c>
      <c r="T90" s="903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60">
        <f>PIERNA!F86</f>
        <v>0</v>
      </c>
      <c r="G91" s="156">
        <f>PIERNA!G86</f>
        <v>0</v>
      </c>
      <c r="H91" s="880">
        <f>PIERNA!H86</f>
        <v>0</v>
      </c>
      <c r="I91" s="102">
        <f>PIERNA!I91</f>
        <v>0</v>
      </c>
      <c r="J91" s="698"/>
      <c r="K91" s="601"/>
      <c r="L91" s="603"/>
      <c r="M91" s="739"/>
      <c r="N91" s="608"/>
      <c r="O91" s="1032"/>
      <c r="P91" s="470"/>
      <c r="Q91" s="360"/>
      <c r="R91" s="740"/>
      <c r="S91" s="903">
        <f t="shared" si="15"/>
        <v>0</v>
      </c>
      <c r="T91" s="903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60">
        <f>PIERNA!F87</f>
        <v>0</v>
      </c>
      <c r="G92" s="156">
        <f>PIERNA!G87</f>
        <v>0</v>
      </c>
      <c r="H92" s="880">
        <f>PIERNA!H87</f>
        <v>0</v>
      </c>
      <c r="I92" s="102">
        <f>PIERNA!I92</f>
        <v>0</v>
      </c>
      <c r="J92" s="698"/>
      <c r="K92" s="601"/>
      <c r="L92" s="603"/>
      <c r="M92" s="739"/>
      <c r="N92" s="608"/>
      <c r="O92" s="1032"/>
      <c r="P92" s="470"/>
      <c r="Q92" s="360"/>
      <c r="R92" s="740"/>
      <c r="S92" s="903">
        <f t="shared" si="15"/>
        <v>0</v>
      </c>
      <c r="T92" s="903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60">
        <f>PIERNA!F88</f>
        <v>0</v>
      </c>
      <c r="G93" s="156">
        <f>PIERNA!G88</f>
        <v>0</v>
      </c>
      <c r="H93" s="880">
        <f>PIERNA!H88</f>
        <v>0</v>
      </c>
      <c r="I93" s="102">
        <f>PIERNA!I93</f>
        <v>0</v>
      </c>
      <c r="J93" s="698"/>
      <c r="K93" s="601"/>
      <c r="L93" s="603"/>
      <c r="M93" s="739"/>
      <c r="N93" s="608"/>
      <c r="O93" s="1032"/>
      <c r="P93" s="470"/>
      <c r="Q93" s="360"/>
      <c r="R93" s="740"/>
      <c r="S93" s="903">
        <f t="shared" si="15"/>
        <v>0</v>
      </c>
      <c r="T93" s="903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60"/>
      <c r="G94" s="156"/>
      <c r="H94" s="880"/>
      <c r="I94" s="102">
        <f>PIERNA!I94</f>
        <v>0</v>
      </c>
      <c r="J94" s="591"/>
      <c r="K94" s="768"/>
      <c r="L94" s="603"/>
      <c r="M94" s="739"/>
      <c r="N94" s="608"/>
      <c r="O94" s="1032"/>
      <c r="P94" s="470"/>
      <c r="Q94" s="360"/>
      <c r="R94" s="740"/>
      <c r="S94" s="903">
        <f t="shared" si="15"/>
        <v>0</v>
      </c>
      <c r="T94" s="903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60"/>
      <c r="G95" s="156"/>
      <c r="H95" s="880"/>
      <c r="I95" s="102">
        <f>PIERNA!I95</f>
        <v>0</v>
      </c>
      <c r="J95" s="698"/>
      <c r="K95" s="601"/>
      <c r="L95" s="603"/>
      <c r="M95" s="601"/>
      <c r="N95" s="608"/>
      <c r="O95" s="1032"/>
      <c r="P95" s="470"/>
      <c r="Q95" s="360"/>
      <c r="R95" s="740"/>
      <c r="S95" s="903">
        <f t="shared" si="15"/>
        <v>0</v>
      </c>
      <c r="T95" s="903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60"/>
      <c r="G96" s="156"/>
      <c r="H96" s="880"/>
      <c r="I96" s="102"/>
      <c r="J96" s="698"/>
      <c r="K96" s="601"/>
      <c r="L96" s="603"/>
      <c r="M96" s="601"/>
      <c r="N96" s="608"/>
      <c r="O96" s="1032"/>
      <c r="P96" s="470"/>
      <c r="Q96" s="360"/>
      <c r="R96" s="740"/>
      <c r="S96" s="903">
        <f t="shared" si="15"/>
        <v>0</v>
      </c>
      <c r="T96" s="904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60"/>
      <c r="G97" s="156"/>
      <c r="H97" s="880"/>
      <c r="I97" s="102"/>
      <c r="J97" s="698"/>
      <c r="K97" s="601"/>
      <c r="L97" s="603"/>
      <c r="M97" s="601"/>
      <c r="N97" s="608"/>
      <c r="O97" s="1034"/>
      <c r="P97" s="469"/>
      <c r="Q97" s="469"/>
      <c r="R97" s="602"/>
      <c r="S97" s="903">
        <f t="shared" si="15"/>
        <v>0</v>
      </c>
      <c r="T97" s="904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60"/>
      <c r="G98" s="156"/>
      <c r="H98" s="880"/>
      <c r="I98" s="102"/>
      <c r="J98" s="1120"/>
      <c r="K98" s="1121"/>
      <c r="L98" s="1122"/>
      <c r="M98" s="1121"/>
      <c r="N98" s="1123"/>
      <c r="O98" s="1035"/>
      <c r="P98" s="1124"/>
      <c r="Q98" s="1124"/>
      <c r="R98" s="1018"/>
      <c r="S98" s="903"/>
      <c r="T98" s="904"/>
    </row>
    <row r="99" spans="1:24" s="148" customFormat="1" ht="38.25" customHeight="1" x14ac:dyDescent="0.3">
      <c r="A99" s="1009">
        <v>61</v>
      </c>
      <c r="B99" s="1359" t="s">
        <v>92</v>
      </c>
      <c r="C99" s="773" t="s">
        <v>354</v>
      </c>
      <c r="D99" s="1106"/>
      <c r="E99" s="844">
        <v>45110</v>
      </c>
      <c r="F99" s="863">
        <v>2002.14</v>
      </c>
      <c r="G99" s="605">
        <v>441</v>
      </c>
      <c r="H99" s="946">
        <v>2002.14</v>
      </c>
      <c r="I99" s="761">
        <f t="shared" ref="I99:I108" si="18">H99-F99</f>
        <v>0</v>
      </c>
      <c r="J99" s="1108"/>
      <c r="K99" s="1109"/>
      <c r="L99" s="1110"/>
      <c r="M99" s="1109"/>
      <c r="N99" s="1112"/>
      <c r="O99" s="1035" t="s">
        <v>355</v>
      </c>
      <c r="P99" s="1112"/>
      <c r="Q99" s="1111">
        <v>86092.02</v>
      </c>
      <c r="R99" s="1235" t="s">
        <v>422</v>
      </c>
      <c r="S99" s="903">
        <f t="shared" ref="S99:S100" si="19">Q99+M99+K99</f>
        <v>86092.02</v>
      </c>
      <c r="T99" s="904">
        <f t="shared" ref="T99:T100" si="20">S99/H99</f>
        <v>43</v>
      </c>
    </row>
    <row r="100" spans="1:24" s="148" customFormat="1" ht="57" customHeight="1" thickBot="1" x14ac:dyDescent="0.35">
      <c r="A100" s="1009">
        <v>62</v>
      </c>
      <c r="B100" s="1414" t="s">
        <v>376</v>
      </c>
      <c r="C100" s="1180" t="s">
        <v>377</v>
      </c>
      <c r="D100" s="1415"/>
      <c r="E100" s="1416" t="s">
        <v>435</v>
      </c>
      <c r="F100" s="870">
        <v>4145.3999999999996</v>
      </c>
      <c r="G100" s="700">
        <v>10</v>
      </c>
      <c r="H100" s="870">
        <v>4166.5</v>
      </c>
      <c r="I100" s="677">
        <f t="shared" si="18"/>
        <v>21.100000000000364</v>
      </c>
      <c r="J100" s="1236"/>
      <c r="K100" s="1109"/>
      <c r="L100" s="1113"/>
      <c r="M100" s="1109"/>
      <c r="N100" s="947"/>
      <c r="O100" s="1417" t="s">
        <v>436</v>
      </c>
      <c r="P100" s="1427">
        <v>4176</v>
      </c>
      <c r="Q100" s="1418">
        <f>300000+99984</f>
        <v>399984</v>
      </c>
      <c r="R100" s="1419" t="s">
        <v>437</v>
      </c>
      <c r="S100" s="903">
        <f t="shared" si="19"/>
        <v>399984</v>
      </c>
      <c r="T100" s="904">
        <f t="shared" si="20"/>
        <v>96</v>
      </c>
      <c r="X100" s="906">
        <f>SUM(X59:X99)</f>
        <v>0</v>
      </c>
    </row>
    <row r="101" spans="1:24" s="148" customFormat="1" ht="31.5" customHeight="1" x14ac:dyDescent="0.3">
      <c r="A101" s="1009">
        <v>63</v>
      </c>
      <c r="B101" s="1624" t="s">
        <v>98</v>
      </c>
      <c r="C101" s="1364" t="s">
        <v>360</v>
      </c>
      <c r="D101" s="1106"/>
      <c r="E101" s="844">
        <v>45112</v>
      </c>
      <c r="F101" s="863">
        <v>927.83</v>
      </c>
      <c r="G101" s="605">
        <v>35</v>
      </c>
      <c r="H101" s="946">
        <v>927.83</v>
      </c>
      <c r="I101" s="761">
        <f t="shared" si="18"/>
        <v>0</v>
      </c>
      <c r="J101" s="1108"/>
      <c r="K101" s="1109"/>
      <c r="L101" s="1110"/>
      <c r="M101" s="1109"/>
      <c r="N101" s="1139"/>
      <c r="O101" s="1613" t="s">
        <v>362</v>
      </c>
      <c r="P101" s="1140"/>
      <c r="Q101" s="1159">
        <v>60308.95</v>
      </c>
      <c r="R101" s="1647" t="s">
        <v>423</v>
      </c>
      <c r="S101" s="903">
        <f t="shared" ref="S101" si="21">Q101+M101+K101</f>
        <v>60308.95</v>
      </c>
      <c r="T101" s="904">
        <f t="shared" ref="T101" si="22">S101/H101</f>
        <v>65</v>
      </c>
    </row>
    <row r="102" spans="1:24" s="148" customFormat="1" ht="31.5" customHeight="1" thickBot="1" x14ac:dyDescent="0.35">
      <c r="A102" s="1009">
        <v>64</v>
      </c>
      <c r="B102" s="1625"/>
      <c r="C102" s="1364" t="s">
        <v>361</v>
      </c>
      <c r="D102" s="1106"/>
      <c r="E102" s="844">
        <v>45112</v>
      </c>
      <c r="F102" s="863">
        <v>1178.1600000000001</v>
      </c>
      <c r="G102" s="605">
        <v>35</v>
      </c>
      <c r="H102" s="946">
        <v>1178.1600000000001</v>
      </c>
      <c r="I102" s="761">
        <f t="shared" si="18"/>
        <v>0</v>
      </c>
      <c r="J102" s="1108"/>
      <c r="K102" s="1109"/>
      <c r="L102" s="1110"/>
      <c r="M102" s="1109"/>
      <c r="N102" s="1139"/>
      <c r="O102" s="1615"/>
      <c r="P102" s="1140"/>
      <c r="Q102" s="1159">
        <v>74224.08</v>
      </c>
      <c r="R102" s="1648"/>
      <c r="S102" s="903">
        <f t="shared" ref="S102:S104" si="23">Q102+M102+K102</f>
        <v>74224.08</v>
      </c>
      <c r="T102" s="904">
        <f t="shared" ref="T102:T104" si="24">S102/H102</f>
        <v>63</v>
      </c>
    </row>
    <row r="103" spans="1:24" s="148" customFormat="1" ht="31.5" customHeight="1" x14ac:dyDescent="0.3">
      <c r="A103" s="1009">
        <v>65</v>
      </c>
      <c r="B103" s="1626" t="s">
        <v>369</v>
      </c>
      <c r="C103" s="1364" t="s">
        <v>370</v>
      </c>
      <c r="D103" s="1106"/>
      <c r="E103" s="1628">
        <v>45117</v>
      </c>
      <c r="F103" s="863">
        <v>1031.74</v>
      </c>
      <c r="G103" s="605">
        <v>84</v>
      </c>
      <c r="H103" s="946">
        <v>1031.74</v>
      </c>
      <c r="I103" s="761">
        <f t="shared" si="18"/>
        <v>0</v>
      </c>
      <c r="J103" s="1108"/>
      <c r="K103" s="1109"/>
      <c r="L103" s="1110"/>
      <c r="M103" s="1109"/>
      <c r="N103" s="1139"/>
      <c r="O103" s="1630" t="s">
        <v>434</v>
      </c>
      <c r="P103" s="1140"/>
      <c r="Q103" s="1410">
        <f>90793.12-90793.12</f>
        <v>0</v>
      </c>
      <c r="R103" s="1411"/>
      <c r="S103" s="903">
        <f t="shared" si="23"/>
        <v>0</v>
      </c>
      <c r="T103" s="904">
        <f t="shared" si="24"/>
        <v>0</v>
      </c>
    </row>
    <row r="104" spans="1:24" s="148" customFormat="1" ht="28.5" customHeight="1" thickBot="1" x14ac:dyDescent="0.35">
      <c r="A104" s="1009">
        <v>66</v>
      </c>
      <c r="B104" s="1627"/>
      <c r="C104" s="1365" t="s">
        <v>371</v>
      </c>
      <c r="D104" s="1237"/>
      <c r="E104" s="1629"/>
      <c r="F104" s="863">
        <v>499.4</v>
      </c>
      <c r="G104" s="605">
        <v>43</v>
      </c>
      <c r="H104" s="946">
        <v>499.4</v>
      </c>
      <c r="I104" s="761">
        <f t="shared" si="18"/>
        <v>0</v>
      </c>
      <c r="J104" s="771"/>
      <c r="K104" s="1109"/>
      <c r="L104" s="1110"/>
      <c r="M104" s="1109"/>
      <c r="N104" s="1139"/>
      <c r="O104" s="1631"/>
      <c r="P104" s="1360"/>
      <c r="Q104" s="1410">
        <f>43947.2-43947.2</f>
        <v>0</v>
      </c>
      <c r="R104" s="1412"/>
      <c r="S104" s="903">
        <f t="shared" si="23"/>
        <v>0</v>
      </c>
      <c r="T104" s="904">
        <f t="shared" si="24"/>
        <v>0</v>
      </c>
    </row>
    <row r="105" spans="1:24" s="148" customFormat="1" ht="41.25" customHeight="1" thickBot="1" x14ac:dyDescent="0.35">
      <c r="A105" s="1009">
        <v>67</v>
      </c>
      <c r="B105" s="1367" t="s">
        <v>373</v>
      </c>
      <c r="C105" s="773" t="s">
        <v>354</v>
      </c>
      <c r="D105" s="1238"/>
      <c r="E105" s="1370">
        <v>45119</v>
      </c>
      <c r="F105" s="863">
        <v>2020.3</v>
      </c>
      <c r="G105" s="605">
        <v>445</v>
      </c>
      <c r="H105" s="946">
        <v>2020.3</v>
      </c>
      <c r="I105" s="761">
        <f t="shared" si="18"/>
        <v>0</v>
      </c>
      <c r="J105" s="771"/>
      <c r="K105" s="1109"/>
      <c r="L105" s="1110"/>
      <c r="M105" s="1109"/>
      <c r="N105" s="1139"/>
      <c r="O105" s="1372" t="s">
        <v>374</v>
      </c>
      <c r="P105" s="1361"/>
      <c r="Q105" s="1111">
        <v>84852.6</v>
      </c>
      <c r="R105" s="1404" t="s">
        <v>429</v>
      </c>
      <c r="S105" s="903">
        <f t="shared" ref="S105:S108" si="25">Q105+M105+K105</f>
        <v>84852.6</v>
      </c>
      <c r="T105" s="904">
        <f t="shared" ref="T105:T110" si="26">S105/H105</f>
        <v>42.000000000000007</v>
      </c>
    </row>
    <row r="106" spans="1:24" s="148" customFormat="1" ht="44.25" customHeight="1" x14ac:dyDescent="0.3">
      <c r="A106" s="1009">
        <v>68</v>
      </c>
      <c r="B106" s="1607" t="s">
        <v>107</v>
      </c>
      <c r="C106" s="1366" t="s">
        <v>370</v>
      </c>
      <c r="D106" s="1368"/>
      <c r="E106" s="1610">
        <v>45119</v>
      </c>
      <c r="F106" s="1369">
        <v>1039.08</v>
      </c>
      <c r="G106" s="605">
        <v>84</v>
      </c>
      <c r="H106" s="946">
        <v>1039.08</v>
      </c>
      <c r="I106" s="761">
        <f t="shared" si="18"/>
        <v>0</v>
      </c>
      <c r="J106" s="771"/>
      <c r="K106" s="1109"/>
      <c r="L106" s="1110"/>
      <c r="M106" s="1109"/>
      <c r="N106" s="1139"/>
      <c r="O106" s="1613" t="s">
        <v>375</v>
      </c>
      <c r="P106" s="1157"/>
      <c r="Q106" s="1159">
        <v>88321.8</v>
      </c>
      <c r="R106" s="1634" t="s">
        <v>419</v>
      </c>
      <c r="S106" s="903">
        <f t="shared" si="25"/>
        <v>88321.8</v>
      </c>
      <c r="T106" s="904">
        <f t="shared" si="26"/>
        <v>85.000000000000014</v>
      </c>
    </row>
    <row r="107" spans="1:24" s="148" customFormat="1" ht="44.25" customHeight="1" x14ac:dyDescent="0.3">
      <c r="A107" s="1009">
        <v>69</v>
      </c>
      <c r="B107" s="1608"/>
      <c r="C107" s="1366" t="s">
        <v>371</v>
      </c>
      <c r="D107" s="1368"/>
      <c r="E107" s="1611"/>
      <c r="F107" s="1369">
        <v>993.12</v>
      </c>
      <c r="G107" s="605">
        <v>84</v>
      </c>
      <c r="H107" s="946">
        <v>993.12</v>
      </c>
      <c r="I107" s="761">
        <f t="shared" si="18"/>
        <v>0</v>
      </c>
      <c r="J107" s="771"/>
      <c r="K107" s="1109"/>
      <c r="L107" s="1110"/>
      <c r="M107" s="1109"/>
      <c r="N107" s="1139"/>
      <c r="O107" s="1614"/>
      <c r="P107" s="1157"/>
      <c r="Q107" s="1159">
        <v>84415.2</v>
      </c>
      <c r="R107" s="1646"/>
      <c r="S107" s="903">
        <f t="shared" si="25"/>
        <v>84415.2</v>
      </c>
      <c r="T107" s="904">
        <f t="shared" si="26"/>
        <v>85</v>
      </c>
    </row>
    <row r="108" spans="1:24" s="148" customFormat="1" ht="44.25" customHeight="1" thickBot="1" x14ac:dyDescent="0.35">
      <c r="A108" s="1009">
        <v>70</v>
      </c>
      <c r="B108" s="1609"/>
      <c r="C108" s="1366" t="s">
        <v>72</v>
      </c>
      <c r="D108" s="1368"/>
      <c r="E108" s="1612"/>
      <c r="F108" s="1369">
        <v>496.2</v>
      </c>
      <c r="G108" s="605">
        <v>39</v>
      </c>
      <c r="H108" s="946">
        <v>496.2</v>
      </c>
      <c r="I108" s="761">
        <f t="shared" si="18"/>
        <v>0</v>
      </c>
      <c r="J108" s="771"/>
      <c r="K108" s="1109"/>
      <c r="L108" s="1110"/>
      <c r="M108" s="1109"/>
      <c r="N108" s="1139"/>
      <c r="O108" s="1615"/>
      <c r="P108" s="1157"/>
      <c r="Q108" s="1159">
        <v>20607.189999999999</v>
      </c>
      <c r="R108" s="1635"/>
      <c r="S108" s="903">
        <f t="shared" si="25"/>
        <v>20607.189999999999</v>
      </c>
      <c r="T108" s="904">
        <f t="shared" si="26"/>
        <v>41.530008061265619</v>
      </c>
    </row>
    <row r="109" spans="1:24" s="148" customFormat="1" ht="44.25" customHeight="1" x14ac:dyDescent="0.3">
      <c r="A109" s="1009">
        <v>71</v>
      </c>
      <c r="B109" s="1400" t="s">
        <v>376</v>
      </c>
      <c r="C109" s="1401" t="s">
        <v>377</v>
      </c>
      <c r="D109" s="1239"/>
      <c r="E109" s="1371">
        <v>45119</v>
      </c>
      <c r="F109" s="869">
        <v>4237.3999999999996</v>
      </c>
      <c r="G109" s="845"/>
      <c r="H109" s="884">
        <v>4280.01</v>
      </c>
      <c r="I109" s="761">
        <f t="shared" ref="I109:I117" si="27">H109-F109</f>
        <v>42.610000000000582</v>
      </c>
      <c r="J109" s="698"/>
      <c r="K109" s="1109"/>
      <c r="L109" s="1110"/>
      <c r="M109" s="1109"/>
      <c r="N109" s="1139"/>
      <c r="O109" s="1373" t="s">
        <v>378</v>
      </c>
      <c r="P109" s="1413">
        <v>4176</v>
      </c>
      <c r="Q109" s="1159">
        <f>200000+210880</f>
        <v>410880</v>
      </c>
      <c r="R109" s="1405" t="s">
        <v>425</v>
      </c>
      <c r="S109" s="903">
        <f>Q109+M109+K109</f>
        <v>410880</v>
      </c>
      <c r="T109" s="904">
        <f t="shared" si="26"/>
        <v>95.999775701458631</v>
      </c>
    </row>
    <row r="110" spans="1:24" s="148" customFormat="1" ht="40.5" customHeight="1" thickBot="1" x14ac:dyDescent="0.35">
      <c r="A110" s="1009">
        <v>72</v>
      </c>
      <c r="B110" s="1377" t="s">
        <v>80</v>
      </c>
      <c r="C110" s="1242" t="s">
        <v>380</v>
      </c>
      <c r="D110" s="1242"/>
      <c r="E110" s="1379">
        <v>45120</v>
      </c>
      <c r="F110" s="863">
        <v>5003.5600000000004</v>
      </c>
      <c r="G110" s="605">
        <v>176</v>
      </c>
      <c r="H110" s="946">
        <v>5003.5600000000004</v>
      </c>
      <c r="I110" s="956">
        <f t="shared" si="27"/>
        <v>0</v>
      </c>
      <c r="J110" s="698"/>
      <c r="K110" s="1109"/>
      <c r="L110" s="1110"/>
      <c r="M110" s="1109"/>
      <c r="N110" s="1139"/>
      <c r="O110" s="1461" t="s">
        <v>474</v>
      </c>
      <c r="P110" s="1149"/>
      <c r="Q110" s="1159">
        <v>595423.64</v>
      </c>
      <c r="R110" s="1468" t="s">
        <v>475</v>
      </c>
      <c r="S110" s="903">
        <f>Q110+M110+K110</f>
        <v>595423.64</v>
      </c>
      <c r="T110" s="904">
        <f t="shared" si="26"/>
        <v>119</v>
      </c>
    </row>
    <row r="111" spans="1:24" s="148" customFormat="1" ht="28.5" customHeight="1" x14ac:dyDescent="0.3">
      <c r="A111" s="1009">
        <v>73</v>
      </c>
      <c r="B111" s="1598" t="s">
        <v>383</v>
      </c>
      <c r="C111" s="1375" t="s">
        <v>103</v>
      </c>
      <c r="D111" s="1378"/>
      <c r="E111" s="1601">
        <v>45122</v>
      </c>
      <c r="F111" s="1369">
        <v>3885.25</v>
      </c>
      <c r="G111" s="605">
        <v>137</v>
      </c>
      <c r="H111" s="946">
        <v>3885.25</v>
      </c>
      <c r="I111" s="956">
        <f t="shared" si="27"/>
        <v>0</v>
      </c>
      <c r="J111" s="698"/>
      <c r="K111" s="1109"/>
      <c r="L111" s="1110"/>
      <c r="M111" s="1109"/>
      <c r="N111" s="1139"/>
      <c r="O111" s="1604">
        <v>20554</v>
      </c>
      <c r="P111" s="1149"/>
      <c r="Q111" s="1159">
        <v>256426.5</v>
      </c>
      <c r="R111" s="1595" t="s">
        <v>486</v>
      </c>
      <c r="S111" s="903">
        <f t="shared" ref="S111:S149" si="28">Q111+M111+K111</f>
        <v>256426.5</v>
      </c>
      <c r="T111" s="904">
        <f t="shared" ref="T111:T149" si="29">S111/H111</f>
        <v>66</v>
      </c>
    </row>
    <row r="112" spans="1:24" s="148" customFormat="1" ht="41.25" customHeight="1" x14ac:dyDescent="0.3">
      <c r="A112" s="1009">
        <v>74</v>
      </c>
      <c r="B112" s="1599"/>
      <c r="C112" s="1376" t="s">
        <v>384</v>
      </c>
      <c r="D112" s="1368"/>
      <c r="E112" s="1602"/>
      <c r="F112" s="1369">
        <v>310.56</v>
      </c>
      <c r="G112" s="605">
        <v>13</v>
      </c>
      <c r="H112" s="946">
        <v>310.56</v>
      </c>
      <c r="I112" s="956">
        <f t="shared" si="27"/>
        <v>0</v>
      </c>
      <c r="J112" s="698"/>
      <c r="K112" s="1109"/>
      <c r="L112" s="1110"/>
      <c r="M112" s="1109"/>
      <c r="N112" s="1139"/>
      <c r="O112" s="1605"/>
      <c r="P112" s="1150"/>
      <c r="Q112" s="1159">
        <v>20496.96</v>
      </c>
      <c r="R112" s="1596"/>
      <c r="S112" s="903">
        <f t="shared" si="28"/>
        <v>20496.96</v>
      </c>
      <c r="T112" s="904">
        <f t="shared" si="29"/>
        <v>66</v>
      </c>
    </row>
    <row r="113" spans="1:24" s="148" customFormat="1" ht="41.25" customHeight="1" thickBot="1" x14ac:dyDescent="0.35">
      <c r="A113" s="1009">
        <v>75</v>
      </c>
      <c r="B113" s="1600"/>
      <c r="C113" s="1376" t="s">
        <v>385</v>
      </c>
      <c r="D113" s="1368"/>
      <c r="E113" s="1603"/>
      <c r="F113" s="1369">
        <v>1224.22</v>
      </c>
      <c r="G113" s="605">
        <v>40</v>
      </c>
      <c r="H113" s="946">
        <v>1224.22</v>
      </c>
      <c r="I113" s="956">
        <f t="shared" si="27"/>
        <v>0</v>
      </c>
      <c r="J113" s="698"/>
      <c r="K113" s="1109"/>
      <c r="L113" s="1110"/>
      <c r="M113" s="1109"/>
      <c r="N113" s="1139"/>
      <c r="O113" s="1606"/>
      <c r="P113" s="1150"/>
      <c r="Q113" s="1159">
        <v>80798.52</v>
      </c>
      <c r="R113" s="1597"/>
      <c r="S113" s="903">
        <f t="shared" si="28"/>
        <v>80798.52</v>
      </c>
      <c r="T113" s="904">
        <f t="shared" si="29"/>
        <v>66</v>
      </c>
    </row>
    <row r="114" spans="1:24" s="148" customFormat="1" ht="41.25" customHeight="1" x14ac:dyDescent="0.3">
      <c r="A114" s="1009">
        <v>76</v>
      </c>
      <c r="B114" s="1607" t="s">
        <v>376</v>
      </c>
      <c r="C114" s="1471" t="s">
        <v>377</v>
      </c>
      <c r="D114" s="1368"/>
      <c r="E114" s="1622">
        <v>45126</v>
      </c>
      <c r="F114" s="1369">
        <f>2083.334+2139.166</f>
        <v>4222.5</v>
      </c>
      <c r="G114" s="605"/>
      <c r="H114" s="946">
        <f>2083.334+2139.166</f>
        <v>4222.5</v>
      </c>
      <c r="I114" s="956">
        <f t="shared" si="27"/>
        <v>0</v>
      </c>
      <c r="J114" s="1571"/>
      <c r="K114" s="1109"/>
      <c r="L114" s="1110"/>
      <c r="M114" s="1109"/>
      <c r="N114" s="1139"/>
      <c r="O114" s="1616" t="s">
        <v>418</v>
      </c>
      <c r="P114" s="1150"/>
      <c r="Q114" s="1159">
        <f>200000+205360</f>
        <v>405360</v>
      </c>
      <c r="R114" s="1634" t="s">
        <v>488</v>
      </c>
      <c r="S114" s="903">
        <f>Q114+M114+K114</f>
        <v>405360</v>
      </c>
      <c r="T114" s="904">
        <f t="shared" ref="T114" si="30">S114/H114</f>
        <v>96</v>
      </c>
    </row>
    <row r="115" spans="1:24" s="148" customFormat="1" ht="41.25" customHeight="1" thickBot="1" x14ac:dyDescent="0.35">
      <c r="A115" s="1009"/>
      <c r="B115" s="1609"/>
      <c r="C115" s="1472" t="s">
        <v>489</v>
      </c>
      <c r="D115" s="1473"/>
      <c r="E115" s="1623"/>
      <c r="F115" s="1474">
        <v>50.8</v>
      </c>
      <c r="G115" s="605"/>
      <c r="H115" s="946">
        <v>50.8</v>
      </c>
      <c r="I115" s="956">
        <f t="shared" si="27"/>
        <v>0</v>
      </c>
      <c r="J115" s="1571"/>
      <c r="K115" s="1109"/>
      <c r="L115" s="1110"/>
      <c r="M115" s="1109"/>
      <c r="N115" s="1139"/>
      <c r="O115" s="1617"/>
      <c r="P115" s="1150"/>
      <c r="Q115" s="1159">
        <v>1016</v>
      </c>
      <c r="R115" s="1635"/>
      <c r="S115" s="903">
        <f t="shared" ref="S115:S116" si="31">Q115+M115+K115</f>
        <v>1016</v>
      </c>
      <c r="T115" s="904">
        <f t="shared" ref="T115:T116" si="32">S115/H115</f>
        <v>20</v>
      </c>
    </row>
    <row r="116" spans="1:24" s="148" customFormat="1" ht="41.25" customHeight="1" thickBot="1" x14ac:dyDescent="0.35">
      <c r="A116" s="1009">
        <v>77</v>
      </c>
      <c r="B116" s="1395" t="s">
        <v>328</v>
      </c>
      <c r="C116" s="1421" t="s">
        <v>399</v>
      </c>
      <c r="D116" s="1382"/>
      <c r="E116" s="1397">
        <v>45125</v>
      </c>
      <c r="F116" s="1402">
        <v>18814.919999999998</v>
      </c>
      <c r="G116" s="605">
        <v>23</v>
      </c>
      <c r="H116" s="946">
        <v>18906</v>
      </c>
      <c r="I116" s="956">
        <f t="shared" si="27"/>
        <v>91.080000000001746</v>
      </c>
      <c r="J116" s="1463" t="s">
        <v>457</v>
      </c>
      <c r="K116" s="1109">
        <v>11424</v>
      </c>
      <c r="L116" s="1110" t="s">
        <v>431</v>
      </c>
      <c r="M116" s="1109">
        <v>37120</v>
      </c>
      <c r="N116" s="1175" t="s">
        <v>472</v>
      </c>
      <c r="O116" s="1469">
        <v>203082</v>
      </c>
      <c r="P116" s="1572">
        <v>4582</v>
      </c>
      <c r="Q116" s="1159">
        <f>43347.2*16.84</f>
        <v>729966.848</v>
      </c>
      <c r="R116" s="1470" t="s">
        <v>417</v>
      </c>
      <c r="S116" s="903">
        <f t="shared" si="31"/>
        <v>778510.848</v>
      </c>
      <c r="T116" s="904">
        <f t="shared" si="32"/>
        <v>41.177977784830212</v>
      </c>
    </row>
    <row r="117" spans="1:24" s="148" customFormat="1" ht="41.25" customHeight="1" x14ac:dyDescent="0.3">
      <c r="A117" s="1009">
        <v>78</v>
      </c>
      <c r="B117" s="1607" t="s">
        <v>373</v>
      </c>
      <c r="C117" s="1376" t="s">
        <v>401</v>
      </c>
      <c r="D117" s="1368"/>
      <c r="E117" s="1601">
        <v>45126</v>
      </c>
      <c r="F117" s="1369">
        <v>150</v>
      </c>
      <c r="G117" s="605">
        <v>15</v>
      </c>
      <c r="H117" s="946">
        <v>150</v>
      </c>
      <c r="I117" s="956">
        <f t="shared" si="27"/>
        <v>0</v>
      </c>
      <c r="J117" s="698"/>
      <c r="K117" s="1109"/>
      <c r="L117" s="1110"/>
      <c r="M117" s="1109"/>
      <c r="N117" s="1139"/>
      <c r="O117" s="1613" t="s">
        <v>403</v>
      </c>
      <c r="P117" s="1150"/>
      <c r="Q117" s="1159">
        <v>14700</v>
      </c>
      <c r="R117" s="1592" t="s">
        <v>433</v>
      </c>
      <c r="S117" s="903">
        <f t="shared" si="28"/>
        <v>14700</v>
      </c>
      <c r="T117" s="904">
        <f t="shared" si="29"/>
        <v>98</v>
      </c>
    </row>
    <row r="118" spans="1:24" s="148" customFormat="1" ht="30.75" customHeight="1" thickBot="1" x14ac:dyDescent="0.35">
      <c r="A118" s="1009">
        <v>79</v>
      </c>
      <c r="B118" s="1609"/>
      <c r="C118" s="1420" t="s">
        <v>402</v>
      </c>
      <c r="D118" s="1396"/>
      <c r="E118" s="1603"/>
      <c r="F118" s="1369">
        <v>150</v>
      </c>
      <c r="G118" s="605">
        <v>15</v>
      </c>
      <c r="H118" s="946">
        <v>150</v>
      </c>
      <c r="I118" s="956">
        <f t="shared" ref="I118:I122" si="33">H118-F118</f>
        <v>0</v>
      </c>
      <c r="J118" s="698"/>
      <c r="K118" s="1109"/>
      <c r="L118" s="1110"/>
      <c r="M118" s="1109"/>
      <c r="N118" s="1139"/>
      <c r="O118" s="1615"/>
      <c r="P118" s="1149"/>
      <c r="Q118" s="1159">
        <v>12750</v>
      </c>
      <c r="R118" s="1594"/>
      <c r="S118" s="903">
        <f t="shared" si="28"/>
        <v>12750</v>
      </c>
      <c r="T118" s="904">
        <f t="shared" si="29"/>
        <v>85</v>
      </c>
    </row>
    <row r="119" spans="1:24" s="148" customFormat="1" ht="39.75" customHeight="1" thickBot="1" x14ac:dyDescent="0.35">
      <c r="A119" s="1009">
        <v>80</v>
      </c>
      <c r="B119" s="1444" t="s">
        <v>383</v>
      </c>
      <c r="C119" s="1376" t="s">
        <v>103</v>
      </c>
      <c r="D119" s="1396"/>
      <c r="E119" s="1441">
        <v>45127</v>
      </c>
      <c r="F119" s="1369">
        <v>5070.68</v>
      </c>
      <c r="G119" s="605">
        <v>175</v>
      </c>
      <c r="H119" s="946">
        <v>5070.68</v>
      </c>
      <c r="I119" s="956">
        <f t="shared" si="33"/>
        <v>0</v>
      </c>
      <c r="J119" s="698"/>
      <c r="K119" s="1109"/>
      <c r="L119" s="1110"/>
      <c r="M119" s="1109"/>
      <c r="N119" s="1139"/>
      <c r="O119" s="1442">
        <v>20579</v>
      </c>
      <c r="P119" s="1149"/>
      <c r="Q119" s="1159">
        <v>344806.24</v>
      </c>
      <c r="R119" s="1443" t="s">
        <v>480</v>
      </c>
      <c r="S119" s="903">
        <f t="shared" ref="S119:S123" si="34">Q119+M119+K119</f>
        <v>344806.24</v>
      </c>
      <c r="T119" s="904">
        <f t="shared" ref="T119:T123" si="35">S119/H119</f>
        <v>68</v>
      </c>
    </row>
    <row r="120" spans="1:24" s="148" customFormat="1" ht="57" x14ac:dyDescent="0.3">
      <c r="A120" s="1009">
        <v>81</v>
      </c>
      <c r="B120" s="1618" t="s">
        <v>376</v>
      </c>
      <c r="C120" s="1403" t="s">
        <v>377</v>
      </c>
      <c r="D120" s="1368"/>
      <c r="E120" s="1620" t="s">
        <v>471</v>
      </c>
      <c r="F120" s="1369">
        <f>2083.334+1959.667</f>
        <v>4043.0009999999997</v>
      </c>
      <c r="G120" s="605"/>
      <c r="H120" s="946">
        <f>2083.334+1959.667</f>
        <v>4043.0009999999997</v>
      </c>
      <c r="I120" s="956">
        <f t="shared" si="33"/>
        <v>0</v>
      </c>
      <c r="J120" s="745"/>
      <c r="K120" s="1109">
        <v>4176</v>
      </c>
      <c r="L120" s="1649" t="s">
        <v>739</v>
      </c>
      <c r="M120" s="1109"/>
      <c r="N120" s="1139"/>
      <c r="O120" s="1616" t="s">
        <v>470</v>
      </c>
      <c r="P120" s="1140"/>
      <c r="Q120" s="1159">
        <f>200000+188128.03</f>
        <v>388128.03</v>
      </c>
      <c r="R120" s="1409" t="s">
        <v>477</v>
      </c>
      <c r="S120" s="903">
        <f t="shared" si="34"/>
        <v>392304.03</v>
      </c>
      <c r="T120" s="904">
        <f t="shared" si="35"/>
        <v>97.032879784100984</v>
      </c>
    </row>
    <row r="121" spans="1:24" s="148" customFormat="1" ht="31.5" customHeight="1" thickBot="1" x14ac:dyDescent="0.35">
      <c r="A121" s="1009"/>
      <c r="B121" s="1619"/>
      <c r="C121" s="1459" t="s">
        <v>71</v>
      </c>
      <c r="D121" s="1368"/>
      <c r="E121" s="1621"/>
      <c r="F121" s="1369">
        <v>195.65</v>
      </c>
      <c r="G121" s="605"/>
      <c r="H121" s="946">
        <v>195.65</v>
      </c>
      <c r="I121" s="956">
        <f t="shared" si="33"/>
        <v>0</v>
      </c>
      <c r="J121" s="745"/>
      <c r="K121" s="1109">
        <v>0</v>
      </c>
      <c r="L121" s="1650"/>
      <c r="M121" s="1109"/>
      <c r="N121" s="1139"/>
      <c r="O121" s="1617"/>
      <c r="P121" s="1140"/>
      <c r="Q121" s="1159">
        <v>27391</v>
      </c>
      <c r="R121" s="1409" t="s">
        <v>478</v>
      </c>
      <c r="S121" s="903">
        <f t="shared" si="34"/>
        <v>27391</v>
      </c>
      <c r="T121" s="904">
        <f t="shared" si="35"/>
        <v>140</v>
      </c>
    </row>
    <row r="122" spans="1:24" s="148" customFormat="1" ht="39" customHeight="1" x14ac:dyDescent="0.3">
      <c r="A122" s="1009">
        <v>82</v>
      </c>
      <c r="B122" s="961" t="s">
        <v>449</v>
      </c>
      <c r="C122" s="1243" t="s">
        <v>450</v>
      </c>
      <c r="D122" s="947"/>
      <c r="E122" s="1380">
        <v>45128</v>
      </c>
      <c r="F122" s="863">
        <v>1896.46</v>
      </c>
      <c r="G122" s="605">
        <v>2</v>
      </c>
      <c r="H122" s="946">
        <v>1896.46</v>
      </c>
      <c r="I122" s="956">
        <f t="shared" si="33"/>
        <v>0</v>
      </c>
      <c r="J122" s="698"/>
      <c r="K122" s="1109">
        <v>0</v>
      </c>
      <c r="L122" s="1651"/>
      <c r="M122" s="1109"/>
      <c r="N122" s="1139"/>
      <c r="O122" s="1460" t="s">
        <v>451</v>
      </c>
      <c r="P122" s="1151"/>
      <c r="Q122" s="1159">
        <v>47411.5</v>
      </c>
      <c r="R122" s="954" t="s">
        <v>481</v>
      </c>
      <c r="S122" s="903">
        <f t="shared" si="34"/>
        <v>47411.5</v>
      </c>
      <c r="T122" s="904">
        <f t="shared" si="35"/>
        <v>25</v>
      </c>
    </row>
    <row r="123" spans="1:24" s="148" customFormat="1" ht="45.75" customHeight="1" x14ac:dyDescent="0.25">
      <c r="A123" s="1009">
        <v>83</v>
      </c>
      <c r="B123" s="961" t="s">
        <v>383</v>
      </c>
      <c r="C123" s="1243" t="s">
        <v>66</v>
      </c>
      <c r="D123" s="947"/>
      <c r="E123" s="844">
        <v>45129</v>
      </c>
      <c r="F123" s="863">
        <v>950.03</v>
      </c>
      <c r="G123" s="605">
        <v>34</v>
      </c>
      <c r="H123" s="946">
        <v>950.03</v>
      </c>
      <c r="I123" s="426">
        <f t="shared" ref="I123:I124" si="36">H123-F123</f>
        <v>0</v>
      </c>
      <c r="J123" s="698"/>
      <c r="K123" s="1109"/>
      <c r="L123" s="1110"/>
      <c r="M123" s="1109"/>
      <c r="N123" s="1139"/>
      <c r="O123" s="1462">
        <v>20593</v>
      </c>
      <c r="P123" s="1151"/>
      <c r="Q123" s="1158">
        <v>33251.050000000003</v>
      </c>
      <c r="R123" s="1134" t="s">
        <v>468</v>
      </c>
      <c r="S123" s="903">
        <f t="shared" si="34"/>
        <v>33251.050000000003</v>
      </c>
      <c r="T123" s="904">
        <f t="shared" si="35"/>
        <v>35.000000000000007</v>
      </c>
    </row>
    <row r="124" spans="1:24" s="148" customFormat="1" ht="43.5" customHeight="1" thickBot="1" x14ac:dyDescent="0.3">
      <c r="A124" s="1009">
        <v>84</v>
      </c>
      <c r="B124" s="961" t="s">
        <v>80</v>
      </c>
      <c r="C124" s="591" t="s">
        <v>380</v>
      </c>
      <c r="D124" s="947"/>
      <c r="E124" s="844">
        <v>45129</v>
      </c>
      <c r="F124" s="870">
        <v>5014.46</v>
      </c>
      <c r="G124" s="700">
        <v>179</v>
      </c>
      <c r="H124" s="870">
        <v>5014.46</v>
      </c>
      <c r="I124" s="426">
        <f t="shared" si="36"/>
        <v>0</v>
      </c>
      <c r="J124" s="700"/>
      <c r="K124" s="1109"/>
      <c r="L124" s="1113"/>
      <c r="M124" s="1109"/>
      <c r="N124" s="1139"/>
      <c r="O124" s="1464" t="s">
        <v>482</v>
      </c>
      <c r="P124" s="1152"/>
      <c r="Q124" s="1158">
        <v>596720.74</v>
      </c>
      <c r="R124" s="1134" t="s">
        <v>468</v>
      </c>
      <c r="S124" s="903">
        <f t="shared" si="28"/>
        <v>596720.74</v>
      </c>
      <c r="T124" s="904">
        <f t="shared" si="29"/>
        <v>119</v>
      </c>
    </row>
    <row r="125" spans="1:24" s="148" customFormat="1" ht="45" customHeight="1" thickTop="1" x14ac:dyDescent="0.25">
      <c r="A125" s="1009">
        <v>86</v>
      </c>
      <c r="B125" s="961" t="s">
        <v>80</v>
      </c>
      <c r="C125" s="745" t="s">
        <v>452</v>
      </c>
      <c r="D125" s="947"/>
      <c r="E125" s="844">
        <v>45131</v>
      </c>
      <c r="F125" s="869">
        <v>18234.72</v>
      </c>
      <c r="G125" s="845">
        <v>670</v>
      </c>
      <c r="H125" s="1010">
        <v>18234.72</v>
      </c>
      <c r="I125" s="426">
        <f t="shared" ref="I125:I159" si="37">H125-F125</f>
        <v>0</v>
      </c>
      <c r="J125" s="1244"/>
      <c r="K125" s="1114"/>
      <c r="L125" s="1114"/>
      <c r="M125" s="1109"/>
      <c r="N125" s="1381"/>
      <c r="O125" s="1167" t="s">
        <v>737</v>
      </c>
      <c r="P125" s="1555"/>
      <c r="Q125" s="1553">
        <v>1349369.28</v>
      </c>
      <c r="R125" s="1554" t="s">
        <v>738</v>
      </c>
      <c r="S125" s="903">
        <f t="shared" ref="S125:S127" si="38">Q125+M125+K125</f>
        <v>1349369.28</v>
      </c>
      <c r="T125" s="904">
        <f t="shared" ref="T125:T127" si="39">S125/H125</f>
        <v>74</v>
      </c>
    </row>
    <row r="126" spans="1:24" s="148" customFormat="1" ht="31.5" customHeight="1" x14ac:dyDescent="0.3">
      <c r="A126" s="1009">
        <v>87</v>
      </c>
      <c r="B126" s="1241" t="s">
        <v>97</v>
      </c>
      <c r="C126" s="1107" t="s">
        <v>453</v>
      </c>
      <c r="D126" s="742"/>
      <c r="E126" s="844">
        <v>45131</v>
      </c>
      <c r="F126" s="998">
        <v>14400</v>
      </c>
      <c r="G126" s="1068">
        <v>1440</v>
      </c>
      <c r="H126" s="1011">
        <v>14400</v>
      </c>
      <c r="I126" s="901">
        <f t="shared" si="37"/>
        <v>0</v>
      </c>
      <c r="J126" s="699"/>
      <c r="K126" s="1114"/>
      <c r="L126" s="1114"/>
      <c r="M126" s="1109"/>
      <c r="N126" s="1112"/>
      <c r="O126" s="1034" t="s">
        <v>490</v>
      </c>
      <c r="P126" s="1112"/>
      <c r="Q126" s="1159">
        <v>504000</v>
      </c>
      <c r="R126" s="1134" t="s">
        <v>483</v>
      </c>
      <c r="S126" s="903">
        <f t="shared" si="38"/>
        <v>504000</v>
      </c>
      <c r="T126" s="904">
        <f t="shared" si="39"/>
        <v>35</v>
      </c>
      <c r="X126" s="846">
        <v>68507.399999999994</v>
      </c>
    </row>
    <row r="127" spans="1:24" s="148" customFormat="1" ht="31.5" customHeight="1" x14ac:dyDescent="0.3">
      <c r="A127" s="1009">
        <v>88</v>
      </c>
      <c r="B127" s="1241" t="s">
        <v>328</v>
      </c>
      <c r="C127" s="1446" t="s">
        <v>399</v>
      </c>
      <c r="D127" s="742"/>
      <c r="E127" s="844">
        <v>45132</v>
      </c>
      <c r="F127" s="998">
        <v>18287.650000000001</v>
      </c>
      <c r="G127" s="1068">
        <v>23</v>
      </c>
      <c r="H127" s="1011">
        <v>18388</v>
      </c>
      <c r="I127" s="901">
        <f t="shared" si="37"/>
        <v>100.34999999999854</v>
      </c>
      <c r="J127" s="1447" t="s">
        <v>456</v>
      </c>
      <c r="K127" s="1109">
        <v>12424</v>
      </c>
      <c r="L127" s="1465" t="s">
        <v>484</v>
      </c>
      <c r="M127" s="1109">
        <v>37120</v>
      </c>
      <c r="N127" s="612" t="s">
        <v>479</v>
      </c>
      <c r="O127" s="1462">
        <v>203089</v>
      </c>
      <c r="P127" s="1575">
        <v>4582</v>
      </c>
      <c r="Q127" s="1159">
        <f>43376.73*16.86</f>
        <v>731331.66780000005</v>
      </c>
      <c r="R127" s="213" t="s">
        <v>476</v>
      </c>
      <c r="S127" s="903">
        <f t="shared" si="38"/>
        <v>780875.66780000005</v>
      </c>
      <c r="T127" s="904">
        <f t="shared" si="39"/>
        <v>42.466590591690235</v>
      </c>
      <c r="X127" s="846"/>
    </row>
    <row r="128" spans="1:24" s="148" customFormat="1" ht="38.25" customHeight="1" thickBot="1" x14ac:dyDescent="0.35">
      <c r="A128" s="1009">
        <v>89</v>
      </c>
      <c r="B128" s="1452" t="s">
        <v>373</v>
      </c>
      <c r="C128" s="1107" t="s">
        <v>354</v>
      </c>
      <c r="D128" s="742"/>
      <c r="E128" s="1455">
        <v>45132</v>
      </c>
      <c r="F128" s="998">
        <v>2043</v>
      </c>
      <c r="G128" s="1068">
        <v>450</v>
      </c>
      <c r="H128" s="900">
        <v>2043</v>
      </c>
      <c r="I128" s="901">
        <f t="shared" si="37"/>
        <v>0</v>
      </c>
      <c r="J128" s="699"/>
      <c r="K128" s="1114"/>
      <c r="L128" s="1114"/>
      <c r="M128" s="1109"/>
      <c r="N128" s="1112"/>
      <c r="O128" s="1456" t="s">
        <v>458</v>
      </c>
      <c r="P128" s="1112"/>
      <c r="Q128" s="1159">
        <v>85806</v>
      </c>
      <c r="R128" s="1466" t="s">
        <v>485</v>
      </c>
      <c r="S128" s="903">
        <f t="shared" si="28"/>
        <v>85806</v>
      </c>
      <c r="T128" s="904">
        <f t="shared" si="29"/>
        <v>42</v>
      </c>
      <c r="X128" s="846"/>
    </row>
    <row r="129" spans="1:24" s="148" customFormat="1" ht="31.5" customHeight="1" x14ac:dyDescent="0.3">
      <c r="A129" s="1009">
        <v>90</v>
      </c>
      <c r="B129" s="1607" t="s">
        <v>98</v>
      </c>
      <c r="C129" s="1451" t="s">
        <v>459</v>
      </c>
      <c r="D129" s="1453"/>
      <c r="E129" s="1610">
        <v>45133</v>
      </c>
      <c r="F129" s="1454">
        <v>453.13</v>
      </c>
      <c r="G129" s="818">
        <v>14</v>
      </c>
      <c r="H129" s="902">
        <v>453.13</v>
      </c>
      <c r="I129" s="901">
        <f t="shared" si="37"/>
        <v>0</v>
      </c>
      <c r="J129" s="700"/>
      <c r="K129" s="1109"/>
      <c r="L129" s="1113"/>
      <c r="M129" s="1109"/>
      <c r="N129" s="1139"/>
      <c r="O129" s="1613" t="s">
        <v>462</v>
      </c>
      <c r="P129" s="1140"/>
      <c r="Q129" s="1159">
        <v>103313.64</v>
      </c>
      <c r="R129" s="1592" t="s">
        <v>486</v>
      </c>
      <c r="S129" s="903">
        <f t="shared" si="28"/>
        <v>103313.64</v>
      </c>
      <c r="T129" s="904">
        <f t="shared" si="29"/>
        <v>228</v>
      </c>
      <c r="X129" s="846">
        <v>2299.8000000000002</v>
      </c>
    </row>
    <row r="130" spans="1:24" s="148" customFormat="1" ht="37.5" customHeight="1" x14ac:dyDescent="0.3">
      <c r="A130" s="1009">
        <v>91</v>
      </c>
      <c r="B130" s="1608"/>
      <c r="C130" s="1451" t="s">
        <v>360</v>
      </c>
      <c r="D130" s="1453"/>
      <c r="E130" s="1611"/>
      <c r="F130" s="1454">
        <v>797.09</v>
      </c>
      <c r="G130" s="818">
        <v>30</v>
      </c>
      <c r="H130" s="902">
        <v>797.09</v>
      </c>
      <c r="I130" s="901">
        <f t="shared" si="37"/>
        <v>0</v>
      </c>
      <c r="J130" s="700"/>
      <c r="K130" s="1109"/>
      <c r="L130" s="1113"/>
      <c r="M130" s="1109"/>
      <c r="N130" s="1139"/>
      <c r="O130" s="1614"/>
      <c r="P130" s="1140"/>
      <c r="Q130" s="1159">
        <v>52607.94</v>
      </c>
      <c r="R130" s="1593"/>
      <c r="S130" s="903">
        <f t="shared" ref="S130:S134" si="40">Q130+M130+K130</f>
        <v>52607.94</v>
      </c>
      <c r="T130" s="904">
        <f t="shared" ref="T130:T133" si="41">S130/H130</f>
        <v>66</v>
      </c>
      <c r="X130" s="846"/>
    </row>
    <row r="131" spans="1:24" s="148" customFormat="1" ht="31.5" customHeight="1" x14ac:dyDescent="0.3">
      <c r="A131" s="1009">
        <v>92</v>
      </c>
      <c r="B131" s="1608"/>
      <c r="C131" s="1451" t="s">
        <v>361</v>
      </c>
      <c r="D131" s="1453"/>
      <c r="E131" s="1611"/>
      <c r="F131" s="1454">
        <v>666.16</v>
      </c>
      <c r="G131" s="818">
        <v>20</v>
      </c>
      <c r="H131" s="902">
        <v>666.16</v>
      </c>
      <c r="I131" s="901">
        <f t="shared" si="37"/>
        <v>0</v>
      </c>
      <c r="J131" s="700"/>
      <c r="K131" s="1109"/>
      <c r="L131" s="1113"/>
      <c r="M131" s="1109"/>
      <c r="N131" s="1139"/>
      <c r="O131" s="1614"/>
      <c r="P131" s="1140"/>
      <c r="Q131" s="1159">
        <v>41968.08</v>
      </c>
      <c r="R131" s="1593"/>
      <c r="S131" s="903">
        <f t="shared" si="40"/>
        <v>41968.08</v>
      </c>
      <c r="T131" s="904">
        <f t="shared" si="41"/>
        <v>63.000000000000007</v>
      </c>
      <c r="X131" s="846"/>
    </row>
    <row r="132" spans="1:24" s="148" customFormat="1" ht="31.5" customHeight="1" thickBot="1" x14ac:dyDescent="0.35">
      <c r="A132" s="1009">
        <v>93</v>
      </c>
      <c r="B132" s="1609"/>
      <c r="C132" s="1451" t="s">
        <v>460</v>
      </c>
      <c r="D132" s="1453"/>
      <c r="E132" s="1612"/>
      <c r="F132" s="1454">
        <v>239.84</v>
      </c>
      <c r="G132" s="818">
        <v>10</v>
      </c>
      <c r="H132" s="902">
        <v>239.84</v>
      </c>
      <c r="I132" s="901">
        <f t="shared" si="37"/>
        <v>0</v>
      </c>
      <c r="J132" s="700"/>
      <c r="K132" s="1109"/>
      <c r="L132" s="1113"/>
      <c r="M132" s="1109"/>
      <c r="N132" s="1139"/>
      <c r="O132" s="1615"/>
      <c r="P132" s="1140"/>
      <c r="Q132" s="1159">
        <v>26142.560000000001</v>
      </c>
      <c r="R132" s="1594"/>
      <c r="S132" s="903">
        <f t="shared" si="40"/>
        <v>26142.560000000001</v>
      </c>
      <c r="T132" s="904">
        <f t="shared" si="41"/>
        <v>109</v>
      </c>
      <c r="X132" s="846"/>
    </row>
    <row r="133" spans="1:24" s="148" customFormat="1" ht="42.75" customHeight="1" thickBot="1" x14ac:dyDescent="0.35">
      <c r="A133" s="1009">
        <v>94</v>
      </c>
      <c r="B133" s="1559" t="s">
        <v>449</v>
      </c>
      <c r="C133" s="1107" t="s">
        <v>450</v>
      </c>
      <c r="D133" s="741"/>
      <c r="E133" s="1565">
        <v>45134</v>
      </c>
      <c r="F133" s="902">
        <v>1886.02</v>
      </c>
      <c r="G133" s="818">
        <v>2</v>
      </c>
      <c r="H133" s="902">
        <v>1886.02</v>
      </c>
      <c r="I133" s="901">
        <f t="shared" si="37"/>
        <v>0</v>
      </c>
      <c r="J133" s="700"/>
      <c r="K133" s="1109"/>
      <c r="L133" s="1113"/>
      <c r="M133" s="1109"/>
      <c r="N133" s="1112"/>
      <c r="O133" s="1562" t="s">
        <v>464</v>
      </c>
      <c r="P133" s="1112"/>
      <c r="Q133" s="1159">
        <v>47150.5</v>
      </c>
      <c r="R133" s="1467" t="s">
        <v>468</v>
      </c>
      <c r="S133" s="903">
        <f t="shared" si="40"/>
        <v>47150.5</v>
      </c>
      <c r="T133" s="904">
        <f t="shared" si="41"/>
        <v>25</v>
      </c>
      <c r="X133" s="846"/>
    </row>
    <row r="134" spans="1:24" s="148" customFormat="1" ht="41.25" customHeight="1" x14ac:dyDescent="0.3">
      <c r="A134" s="1009">
        <v>95</v>
      </c>
      <c r="B134" s="1583" t="s">
        <v>376</v>
      </c>
      <c r="C134" s="1556" t="s">
        <v>377</v>
      </c>
      <c r="D134" s="1563"/>
      <c r="E134" s="1586" t="s">
        <v>732</v>
      </c>
      <c r="F134" s="1454">
        <f>2083.334+2010.26</f>
        <v>4093.5940000000001</v>
      </c>
      <c r="G134" s="818"/>
      <c r="H134" s="902">
        <f>2083.334+1977.266</f>
        <v>4060.6</v>
      </c>
      <c r="I134" s="901">
        <f t="shared" si="37"/>
        <v>-32.994000000000142</v>
      </c>
      <c r="J134" s="845"/>
      <c r="K134" s="1568">
        <v>4176</v>
      </c>
      <c r="L134" s="1652" t="s">
        <v>739</v>
      </c>
      <c r="M134" s="1109"/>
      <c r="N134" s="1139"/>
      <c r="O134" s="1589" t="s">
        <v>733</v>
      </c>
      <c r="P134" s="1576">
        <v>2969.6</v>
      </c>
      <c r="Q134" s="1566">
        <f>200000+192976.13</f>
        <v>392976.13</v>
      </c>
      <c r="R134" s="1567" t="s">
        <v>735</v>
      </c>
      <c r="S134" s="903">
        <f t="shared" si="40"/>
        <v>397152.13</v>
      </c>
      <c r="T134" s="904">
        <f>S134/H134</f>
        <v>97.806267546667982</v>
      </c>
      <c r="X134" s="846">
        <v>3611.88</v>
      </c>
    </row>
    <row r="135" spans="1:24" s="148" customFormat="1" ht="31.5" customHeight="1" x14ac:dyDescent="0.3">
      <c r="A135" s="1009">
        <v>96</v>
      </c>
      <c r="B135" s="1584"/>
      <c r="C135" s="1557" t="s">
        <v>71</v>
      </c>
      <c r="D135" s="1563"/>
      <c r="E135" s="1587"/>
      <c r="F135" s="1454">
        <v>101.999</v>
      </c>
      <c r="G135" s="818"/>
      <c r="H135" s="902">
        <v>101.999</v>
      </c>
      <c r="I135" s="901">
        <f t="shared" si="37"/>
        <v>0</v>
      </c>
      <c r="J135" s="700"/>
      <c r="K135" s="1109">
        <v>0</v>
      </c>
      <c r="L135" s="1653"/>
      <c r="M135" s="1109"/>
      <c r="N135" s="1473"/>
      <c r="O135" s="1590"/>
      <c r="P135" s="1577">
        <v>0</v>
      </c>
      <c r="Q135" s="1566">
        <v>14279.86</v>
      </c>
      <c r="R135" s="1632" t="s">
        <v>736</v>
      </c>
      <c r="S135" s="903">
        <f t="shared" si="28"/>
        <v>14279.86</v>
      </c>
      <c r="T135" s="904">
        <f t="shared" si="29"/>
        <v>140</v>
      </c>
      <c r="X135" s="846">
        <v>79503.45</v>
      </c>
    </row>
    <row r="136" spans="1:24" s="148" customFormat="1" ht="49.5" customHeight="1" thickBot="1" x14ac:dyDescent="0.35">
      <c r="A136" s="1009">
        <v>97</v>
      </c>
      <c r="B136" s="1585"/>
      <c r="C136" s="1558" t="s">
        <v>734</v>
      </c>
      <c r="D136" s="1564"/>
      <c r="E136" s="1588"/>
      <c r="F136" s="1454">
        <v>102.6</v>
      </c>
      <c r="G136" s="818"/>
      <c r="H136" s="902">
        <v>102.6</v>
      </c>
      <c r="I136" s="901">
        <f t="shared" si="37"/>
        <v>0</v>
      </c>
      <c r="J136" s="700"/>
      <c r="K136" s="1109">
        <v>0</v>
      </c>
      <c r="L136" s="1654"/>
      <c r="M136" s="1109"/>
      <c r="N136" s="1561"/>
      <c r="O136" s="1591"/>
      <c r="P136" s="1577">
        <v>0</v>
      </c>
      <c r="Q136" s="1566">
        <v>2052.02</v>
      </c>
      <c r="R136" s="1633"/>
      <c r="S136" s="903">
        <f t="shared" si="28"/>
        <v>2052.02</v>
      </c>
      <c r="T136" s="904">
        <f t="shared" si="29"/>
        <v>20.00019493177388</v>
      </c>
      <c r="X136" s="846">
        <v>51480</v>
      </c>
    </row>
    <row r="137" spans="1:24" s="148" customFormat="1" ht="42.75" customHeight="1" x14ac:dyDescent="0.3">
      <c r="A137" s="1009">
        <v>98</v>
      </c>
      <c r="B137" s="1560"/>
      <c r="C137" s="818"/>
      <c r="D137" s="1239"/>
      <c r="E137" s="1371"/>
      <c r="F137" s="902"/>
      <c r="G137" s="818"/>
      <c r="H137" s="902"/>
      <c r="I137" s="901">
        <f t="shared" ref="I137:I138" si="42">H137-F137</f>
        <v>0</v>
      </c>
      <c r="J137" s="700"/>
      <c r="K137" s="1109"/>
      <c r="L137" s="1113"/>
      <c r="M137" s="1109"/>
      <c r="N137" s="947"/>
      <c r="O137" s="1457"/>
      <c r="P137" s="1112"/>
      <c r="Q137" s="1111"/>
      <c r="R137" s="1112"/>
      <c r="S137" s="903">
        <f t="shared" si="28"/>
        <v>0</v>
      </c>
      <c r="T137" s="904" t="e">
        <f t="shared" si="29"/>
        <v>#DIV/0!</v>
      </c>
      <c r="X137" s="846">
        <v>3952.64</v>
      </c>
    </row>
    <row r="138" spans="1:24" s="148" customFormat="1" ht="36.75" customHeight="1" x14ac:dyDescent="0.3">
      <c r="A138" s="1009">
        <v>99</v>
      </c>
      <c r="B138" s="1240"/>
      <c r="C138" s="1180"/>
      <c r="D138" s="1239"/>
      <c r="E138" s="950"/>
      <c r="F138" s="870"/>
      <c r="G138" s="700"/>
      <c r="H138" s="870"/>
      <c r="I138" s="677">
        <f t="shared" si="42"/>
        <v>0</v>
      </c>
      <c r="J138" s="1236"/>
      <c r="K138" s="1109"/>
      <c r="L138" s="1113"/>
      <c r="M138" s="1109"/>
      <c r="N138" s="947"/>
      <c r="O138" s="1116"/>
      <c r="P138" s="1112"/>
      <c r="Q138" s="1111"/>
      <c r="R138" s="612"/>
      <c r="S138" s="903">
        <f t="shared" si="28"/>
        <v>0</v>
      </c>
      <c r="T138" s="904" t="e">
        <f t="shared" si="29"/>
        <v>#DIV/0!</v>
      </c>
      <c r="X138" s="906">
        <f>SUM(X92:X137)</f>
        <v>209355.17</v>
      </c>
    </row>
    <row r="139" spans="1:24" s="148" customFormat="1" ht="31.5" customHeight="1" x14ac:dyDescent="0.3">
      <c r="A139" s="1009">
        <v>100</v>
      </c>
      <c r="B139" s="957"/>
      <c r="C139" s="818"/>
      <c r="D139" s="591"/>
      <c r="E139" s="844"/>
      <c r="F139" s="902"/>
      <c r="G139" s="818"/>
      <c r="H139" s="902"/>
      <c r="I139" s="901">
        <f t="shared" si="37"/>
        <v>0</v>
      </c>
      <c r="J139" s="700"/>
      <c r="K139" s="1109"/>
      <c r="L139" s="1113"/>
      <c r="M139" s="1109"/>
      <c r="N139" s="1112"/>
      <c r="O139" s="1034"/>
      <c r="P139" s="1126"/>
      <c r="Q139" s="1111"/>
      <c r="R139" s="1112"/>
      <c r="S139" s="903">
        <f t="shared" si="28"/>
        <v>0</v>
      </c>
      <c r="T139" s="904" t="e">
        <f t="shared" si="29"/>
        <v>#DIV/0!</v>
      </c>
      <c r="X139" s="846">
        <v>3222.35</v>
      </c>
    </row>
    <row r="140" spans="1:24" s="148" customFormat="1" ht="31.5" customHeight="1" x14ac:dyDescent="0.3">
      <c r="A140" s="1009">
        <v>101</v>
      </c>
      <c r="B140" s="957"/>
      <c r="C140" s="1211"/>
      <c r="D140" s="591"/>
      <c r="E140" s="844"/>
      <c r="F140" s="902"/>
      <c r="G140" s="818"/>
      <c r="H140" s="902"/>
      <c r="I140" s="901">
        <f t="shared" si="37"/>
        <v>0</v>
      </c>
      <c r="J140" s="700"/>
      <c r="K140" s="1109"/>
      <c r="L140" s="1113"/>
      <c r="M140" s="1109"/>
      <c r="N140" s="947"/>
      <c r="O140" s="1034"/>
      <c r="P140" s="1112"/>
      <c r="Q140" s="1111"/>
      <c r="R140" s="1112"/>
      <c r="S140" s="903">
        <f t="shared" si="28"/>
        <v>0</v>
      </c>
      <c r="T140" s="904" t="e">
        <f t="shared" si="29"/>
        <v>#DIV/0!</v>
      </c>
      <c r="X140" s="846">
        <v>3250.8</v>
      </c>
    </row>
    <row r="141" spans="1:24" s="148" customFormat="1" ht="31.5" customHeight="1" x14ac:dyDescent="0.3">
      <c r="A141" s="1009">
        <v>102</v>
      </c>
      <c r="B141" s="957"/>
      <c r="C141" s="818"/>
      <c r="D141" s="591"/>
      <c r="E141" s="844"/>
      <c r="F141" s="902"/>
      <c r="G141" s="818"/>
      <c r="H141" s="902"/>
      <c r="I141" s="901">
        <f t="shared" si="37"/>
        <v>0</v>
      </c>
      <c r="J141" s="700"/>
      <c r="K141" s="1109"/>
      <c r="L141" s="1113"/>
      <c r="M141" s="1109"/>
      <c r="N141" s="1112"/>
      <c r="O141" s="1127"/>
      <c r="P141" s="1125"/>
      <c r="Q141" s="1111"/>
      <c r="R141" s="1117"/>
      <c r="S141" s="903">
        <f t="shared" si="28"/>
        <v>0</v>
      </c>
      <c r="T141" s="904" t="e">
        <f t="shared" si="29"/>
        <v>#DIV/0!</v>
      </c>
      <c r="X141" s="846">
        <v>4054.26</v>
      </c>
    </row>
    <row r="142" spans="1:24" s="148" customFormat="1" ht="31.5" customHeight="1" x14ac:dyDescent="0.3">
      <c r="A142" s="1009">
        <v>103</v>
      </c>
      <c r="B142" s="957"/>
      <c r="C142" s="818"/>
      <c r="D142" s="591"/>
      <c r="E142" s="844"/>
      <c r="F142" s="902"/>
      <c r="G142" s="818"/>
      <c r="H142" s="902"/>
      <c r="I142" s="901">
        <f t="shared" si="37"/>
        <v>0</v>
      </c>
      <c r="J142" s="700"/>
      <c r="K142" s="1109"/>
      <c r="L142" s="1113"/>
      <c r="M142" s="1109"/>
      <c r="N142" s="1112"/>
      <c r="O142" s="1127"/>
      <c r="P142" s="1125"/>
      <c r="Q142" s="1111"/>
      <c r="R142" s="1117"/>
      <c r="S142" s="903">
        <f t="shared" si="28"/>
        <v>0</v>
      </c>
      <c r="T142" s="904" t="e">
        <f t="shared" si="29"/>
        <v>#DIV/0!</v>
      </c>
      <c r="X142" s="846">
        <v>3632.62</v>
      </c>
    </row>
    <row r="143" spans="1:24" s="148" customFormat="1" ht="31.5" customHeight="1" x14ac:dyDescent="0.3">
      <c r="A143" s="1009">
        <v>104</v>
      </c>
      <c r="B143" s="957"/>
      <c r="C143" s="818"/>
      <c r="D143" s="591"/>
      <c r="E143" s="844"/>
      <c r="F143" s="902"/>
      <c r="G143" s="818"/>
      <c r="H143" s="902"/>
      <c r="I143" s="901">
        <f t="shared" si="37"/>
        <v>0</v>
      </c>
      <c r="J143" s="700"/>
      <c r="K143" s="1109"/>
      <c r="L143" s="1113"/>
      <c r="M143" s="1109"/>
      <c r="N143" s="1112"/>
      <c r="O143" s="1127"/>
      <c r="P143" s="1112"/>
      <c r="Q143" s="1118"/>
      <c r="R143" s="1119"/>
      <c r="S143" s="903">
        <f t="shared" si="28"/>
        <v>0</v>
      </c>
      <c r="T143" s="904" t="e">
        <f t="shared" si="29"/>
        <v>#DIV/0!</v>
      </c>
      <c r="X143" s="846">
        <v>5994.6</v>
      </c>
    </row>
    <row r="144" spans="1:24" s="148" customFormat="1" ht="31.5" customHeight="1" x14ac:dyDescent="0.3">
      <c r="A144" s="1009">
        <v>105</v>
      </c>
      <c r="B144" s="960"/>
      <c r="C144" s="974"/>
      <c r="D144" s="591"/>
      <c r="E144" s="844"/>
      <c r="F144" s="902"/>
      <c r="G144" s="818"/>
      <c r="H144" s="902"/>
      <c r="I144" s="901">
        <f t="shared" si="37"/>
        <v>0</v>
      </c>
      <c r="J144" s="700"/>
      <c r="K144" s="1109"/>
      <c r="L144" s="1113"/>
      <c r="M144" s="1109"/>
      <c r="N144" s="947"/>
      <c r="O144" s="1127"/>
      <c r="P144" s="1112"/>
      <c r="Q144" s="1118"/>
      <c r="R144" s="1119"/>
      <c r="S144" s="903">
        <f t="shared" si="28"/>
        <v>0</v>
      </c>
      <c r="T144" s="904" t="e">
        <f t="shared" si="29"/>
        <v>#DIV/0!</v>
      </c>
      <c r="X144" s="846">
        <v>4834.3</v>
      </c>
    </row>
    <row r="145" spans="1:24" s="148" customFormat="1" ht="47.25" customHeight="1" x14ac:dyDescent="0.3">
      <c r="A145" s="1009">
        <v>106</v>
      </c>
      <c r="B145" s="960"/>
      <c r="C145" s="818"/>
      <c r="D145" s="591"/>
      <c r="E145" s="844"/>
      <c r="F145" s="902"/>
      <c r="G145" s="818"/>
      <c r="H145" s="902"/>
      <c r="I145" s="901">
        <f t="shared" si="37"/>
        <v>0</v>
      </c>
      <c r="J145" s="700"/>
      <c r="K145" s="1109"/>
      <c r="L145" s="1113"/>
      <c r="M145" s="1109"/>
      <c r="N145" s="947"/>
      <c r="O145" s="1115"/>
      <c r="P145" s="1112"/>
      <c r="Q145" s="1111"/>
      <c r="R145" s="1112"/>
      <c r="S145" s="903">
        <f t="shared" si="28"/>
        <v>0</v>
      </c>
      <c r="T145" s="904" t="e">
        <f t="shared" si="29"/>
        <v>#DIV/0!</v>
      </c>
      <c r="X145" s="846">
        <v>4657.6000000000004</v>
      </c>
    </row>
    <row r="146" spans="1:24" s="148" customFormat="1" ht="31.5" customHeight="1" x14ac:dyDescent="0.3">
      <c r="A146" s="1009">
        <v>107</v>
      </c>
      <c r="B146" s="957"/>
      <c r="C146" s="818"/>
      <c r="D146" s="591"/>
      <c r="E146" s="844"/>
      <c r="F146" s="902"/>
      <c r="G146" s="818"/>
      <c r="H146" s="902"/>
      <c r="I146" s="901">
        <f t="shared" si="37"/>
        <v>0</v>
      </c>
      <c r="J146" s="949"/>
      <c r="K146" s="949"/>
      <c r="L146" s="1113"/>
      <c r="M146" s="1109"/>
      <c r="N146" s="947"/>
      <c r="O146" s="1128"/>
      <c r="P146" s="1112"/>
      <c r="Q146" s="1111"/>
      <c r="R146" s="1112"/>
      <c r="S146" s="903">
        <f t="shared" si="28"/>
        <v>0</v>
      </c>
      <c r="T146" s="904" t="e">
        <f t="shared" si="29"/>
        <v>#DIV/0!</v>
      </c>
      <c r="X146" s="846">
        <v>2942.5</v>
      </c>
    </row>
    <row r="147" spans="1:24" s="148" customFormat="1" ht="31.5" customHeight="1" x14ac:dyDescent="0.3">
      <c r="A147" s="1009">
        <v>108</v>
      </c>
      <c r="B147" s="960"/>
      <c r="C147" s="818"/>
      <c r="D147" s="591"/>
      <c r="E147" s="844"/>
      <c r="F147" s="902"/>
      <c r="G147" s="818"/>
      <c r="H147" s="902"/>
      <c r="I147" s="901">
        <f t="shared" si="37"/>
        <v>0</v>
      </c>
      <c r="J147" s="700"/>
      <c r="K147" s="601"/>
      <c r="L147" s="975"/>
      <c r="M147" s="601"/>
      <c r="N147" s="955"/>
      <c r="O147" s="1036"/>
      <c r="P147" s="612"/>
      <c r="Q147" s="846"/>
      <c r="R147" s="954"/>
      <c r="S147" s="903">
        <f t="shared" si="28"/>
        <v>0</v>
      </c>
      <c r="T147" s="904" t="e">
        <f t="shared" si="29"/>
        <v>#DIV/0!</v>
      </c>
      <c r="X147" s="846">
        <v>3619.54</v>
      </c>
    </row>
    <row r="148" spans="1:24" s="148" customFormat="1" ht="31.5" customHeight="1" x14ac:dyDescent="0.3">
      <c r="A148" s="1009">
        <v>109</v>
      </c>
      <c r="B148" s="960"/>
      <c r="C148" s="974"/>
      <c r="D148" s="591"/>
      <c r="E148" s="844"/>
      <c r="F148" s="902"/>
      <c r="G148" s="818"/>
      <c r="H148" s="902"/>
      <c r="I148" s="901">
        <f t="shared" si="37"/>
        <v>0</v>
      </c>
      <c r="J148" s="700"/>
      <c r="K148" s="601"/>
      <c r="L148" s="975"/>
      <c r="M148" s="601"/>
      <c r="N148" s="955"/>
      <c r="O148" s="1036"/>
      <c r="P148" s="612"/>
      <c r="Q148" s="846"/>
      <c r="R148" s="954"/>
      <c r="S148" s="903">
        <f t="shared" si="28"/>
        <v>0</v>
      </c>
      <c r="T148" s="904" t="e">
        <f t="shared" si="29"/>
        <v>#DIV/0!</v>
      </c>
      <c r="X148" s="846">
        <v>3090.78</v>
      </c>
    </row>
    <row r="149" spans="1:24" s="148" customFormat="1" ht="31.5" customHeight="1" x14ac:dyDescent="0.3">
      <c r="A149" s="1009">
        <v>110</v>
      </c>
      <c r="B149" s="960"/>
      <c r="C149" s="818"/>
      <c r="D149" s="591"/>
      <c r="E149" s="844"/>
      <c r="F149" s="902"/>
      <c r="G149" s="818"/>
      <c r="H149" s="902"/>
      <c r="I149" s="901">
        <f t="shared" si="37"/>
        <v>0</v>
      </c>
      <c r="J149" s="700"/>
      <c r="K149" s="601"/>
      <c r="L149" s="701"/>
      <c r="M149" s="601"/>
      <c r="N149" s="955"/>
      <c r="O149" s="1036"/>
      <c r="P149" s="612"/>
      <c r="Q149" s="846"/>
      <c r="R149" s="954"/>
      <c r="S149" s="903">
        <f t="shared" si="28"/>
        <v>0</v>
      </c>
      <c r="T149" s="904" t="e">
        <f t="shared" si="29"/>
        <v>#DIV/0!</v>
      </c>
      <c r="X149" s="846">
        <v>4342</v>
      </c>
    </row>
    <row r="150" spans="1:24" s="148" customFormat="1" ht="53.25" customHeight="1" x14ac:dyDescent="0.25">
      <c r="A150" s="1009"/>
      <c r="B150" s="951"/>
      <c r="C150" s="952"/>
      <c r="D150" s="742"/>
      <c r="E150" s="844"/>
      <c r="F150" s="902"/>
      <c r="G150" s="818"/>
      <c r="H150" s="902"/>
      <c r="I150" s="426">
        <f t="shared" si="37"/>
        <v>0</v>
      </c>
      <c r="J150" s="698"/>
      <c r="K150" s="601"/>
      <c r="L150" s="702"/>
      <c r="M150" s="601"/>
      <c r="N150" s="612"/>
      <c r="O150" s="1037"/>
      <c r="P150" s="612"/>
      <c r="Q150" s="852"/>
      <c r="R150" s="953"/>
      <c r="S150" s="903">
        <f t="shared" si="15"/>
        <v>0</v>
      </c>
      <c r="T150" s="904" t="e">
        <f t="shared" ref="T150:T153" si="43">S150/H150</f>
        <v>#DIV/0!</v>
      </c>
      <c r="X150" s="853">
        <v>127420.53</v>
      </c>
    </row>
    <row r="151" spans="1:24" s="148" customFormat="1" ht="53.25" customHeight="1" x14ac:dyDescent="0.25">
      <c r="A151" s="1009"/>
      <c r="B151" s="951"/>
      <c r="C151" s="952"/>
      <c r="D151" s="742"/>
      <c r="E151" s="844"/>
      <c r="F151" s="902"/>
      <c r="G151" s="818"/>
      <c r="H151" s="902"/>
      <c r="I151" s="426">
        <f t="shared" si="37"/>
        <v>0</v>
      </c>
      <c r="J151" s="698"/>
      <c r="K151" s="601"/>
      <c r="L151" s="702"/>
      <c r="M151" s="601"/>
      <c r="N151" s="612"/>
      <c r="O151" s="1037"/>
      <c r="P151" s="612"/>
      <c r="Q151" s="852"/>
      <c r="R151" s="953"/>
      <c r="S151" s="903">
        <f t="shared" si="15"/>
        <v>0</v>
      </c>
      <c r="T151" s="904" t="e">
        <f t="shared" si="43"/>
        <v>#DIV/0!</v>
      </c>
      <c r="X151" s="853">
        <v>1664.15</v>
      </c>
    </row>
    <row r="152" spans="1:24" s="148" customFormat="1" ht="53.25" customHeight="1" x14ac:dyDescent="0.25">
      <c r="A152" s="1009"/>
      <c r="B152" s="951"/>
      <c r="C152" s="952"/>
      <c r="D152" s="742"/>
      <c r="E152" s="844"/>
      <c r="F152" s="902"/>
      <c r="G152" s="818"/>
      <c r="H152" s="902"/>
      <c r="I152" s="677">
        <f t="shared" si="37"/>
        <v>0</v>
      </c>
      <c r="J152" s="698"/>
      <c r="K152" s="601"/>
      <c r="L152" s="702"/>
      <c r="M152" s="601"/>
      <c r="N152" s="612"/>
      <c r="O152" s="1037"/>
      <c r="P152" s="612"/>
      <c r="Q152" s="852"/>
      <c r="R152" s="953"/>
      <c r="S152" s="903">
        <f t="shared" si="15"/>
        <v>0</v>
      </c>
      <c r="T152" s="904" t="e">
        <f t="shared" si="43"/>
        <v>#DIV/0!</v>
      </c>
      <c r="X152" s="853">
        <v>4143.5200000000004</v>
      </c>
    </row>
    <row r="153" spans="1:24" s="148" customFormat="1" ht="53.25" customHeight="1" x14ac:dyDescent="0.25">
      <c r="A153" s="1009"/>
      <c r="B153" s="951"/>
      <c r="C153" s="952"/>
      <c r="D153" s="742"/>
      <c r="E153" s="844"/>
      <c r="F153" s="902"/>
      <c r="G153" s="818"/>
      <c r="H153" s="902"/>
      <c r="I153" s="677">
        <f t="shared" si="37"/>
        <v>0</v>
      </c>
      <c r="J153" s="698"/>
      <c r="K153" s="601"/>
      <c r="L153" s="702"/>
      <c r="M153" s="601"/>
      <c r="N153" s="612"/>
      <c r="O153" s="1037"/>
      <c r="P153" s="612"/>
      <c r="Q153" s="852"/>
      <c r="R153" s="953"/>
      <c r="S153" s="903">
        <f t="shared" si="15"/>
        <v>0</v>
      </c>
      <c r="T153" s="904" t="e">
        <f t="shared" si="43"/>
        <v>#DIV/0!</v>
      </c>
      <c r="X153" s="853">
        <v>2070.5</v>
      </c>
    </row>
    <row r="154" spans="1:24" s="148" customFormat="1" ht="33.75" customHeight="1" x14ac:dyDescent="0.3">
      <c r="A154" s="97"/>
      <c r="B154" s="742"/>
      <c r="C154" s="741"/>
      <c r="D154" s="948"/>
      <c r="E154" s="743"/>
      <c r="F154" s="871"/>
      <c r="G154" s="591"/>
      <c r="H154" s="871"/>
      <c r="I154" s="426">
        <f t="shared" si="37"/>
        <v>0</v>
      </c>
      <c r="J154" s="698"/>
      <c r="K154" s="601"/>
      <c r="L154" s="702"/>
      <c r="M154" s="601"/>
      <c r="N154" s="612"/>
      <c r="O154" s="1033"/>
      <c r="P154" s="612"/>
      <c r="Q154" s="846"/>
      <c r="R154" s="612"/>
      <c r="S154" s="903">
        <f t="shared" ref="S154" si="44">Q154+M154+K154</f>
        <v>0</v>
      </c>
      <c r="T154" s="904" t="e">
        <f t="shared" ref="T154" si="45">S154/H154</f>
        <v>#DIV/0!</v>
      </c>
    </row>
    <row r="155" spans="1:24" s="148" customFormat="1" ht="25.5" customHeight="1" x14ac:dyDescent="0.25">
      <c r="A155" s="97"/>
      <c r="B155" s="819"/>
      <c r="C155" s="616"/>
      <c r="D155" s="715"/>
      <c r="E155" s="746"/>
      <c r="F155" s="872"/>
      <c r="G155" s="617"/>
      <c r="H155" s="885"/>
      <c r="I155" s="823">
        <f t="shared" si="37"/>
        <v>0</v>
      </c>
      <c r="J155" s="698"/>
      <c r="K155" s="601"/>
      <c r="L155" s="701"/>
      <c r="M155" s="601"/>
      <c r="N155" s="612"/>
      <c r="O155" s="1038"/>
      <c r="P155" s="612"/>
      <c r="Q155" s="850"/>
      <c r="R155" s="612"/>
      <c r="S155" s="903">
        <f t="shared" ref="S155:S162" si="46">Q155+M155+K155</f>
        <v>0</v>
      </c>
      <c r="T155" s="904" t="e">
        <f t="shared" ref="T155:T162" si="47">S155/H155</f>
        <v>#DIV/0!</v>
      </c>
    </row>
    <row r="156" spans="1:24" s="148" customFormat="1" ht="38.25" customHeight="1" x14ac:dyDescent="0.25">
      <c r="A156" s="97"/>
      <c r="B156" s="1133"/>
      <c r="C156" s="616"/>
      <c r="D156" s="616"/>
      <c r="E156" s="716"/>
      <c r="F156" s="872"/>
      <c r="G156" s="617"/>
      <c r="H156" s="872"/>
      <c r="I156" s="823">
        <f t="shared" si="37"/>
        <v>0</v>
      </c>
      <c r="J156" s="698"/>
      <c r="K156" s="601"/>
      <c r="L156" s="701"/>
      <c r="M156" s="601"/>
      <c r="N156" s="612"/>
      <c r="O156" s="1038"/>
      <c r="P156" s="612"/>
      <c r="Q156" s="850"/>
      <c r="R156" s="612"/>
      <c r="S156" s="903">
        <f t="shared" si="46"/>
        <v>0</v>
      </c>
      <c r="T156" s="904" t="e">
        <f t="shared" si="47"/>
        <v>#DIV/0!</v>
      </c>
    </row>
    <row r="157" spans="1:24" s="148" customFormat="1" ht="38.25" customHeight="1" x14ac:dyDescent="0.25">
      <c r="A157" s="97"/>
      <c r="B157" s="1133"/>
      <c r="C157" s="616"/>
      <c r="D157" s="744"/>
      <c r="E157" s="716"/>
      <c r="F157" s="872"/>
      <c r="G157" s="617"/>
      <c r="H157" s="872"/>
      <c r="I157" s="823">
        <f t="shared" si="37"/>
        <v>0</v>
      </c>
      <c r="J157" s="698"/>
      <c r="K157" s="601"/>
      <c r="L157" s="701"/>
      <c r="M157" s="601"/>
      <c r="N157" s="612"/>
      <c r="O157" s="1038"/>
      <c r="P157" s="612"/>
      <c r="Q157" s="850"/>
      <c r="R157" s="612"/>
      <c r="S157" s="903">
        <f t="shared" si="46"/>
        <v>0</v>
      </c>
      <c r="T157" s="904" t="e">
        <f t="shared" si="47"/>
        <v>#DIV/0!</v>
      </c>
    </row>
    <row r="158" spans="1:24" s="148" customFormat="1" ht="33" customHeight="1" x14ac:dyDescent="0.25">
      <c r="A158" s="97"/>
      <c r="B158" s="819"/>
      <c r="C158" s="616"/>
      <c r="D158" s="616"/>
      <c r="E158" s="716"/>
      <c r="F158" s="872"/>
      <c r="G158" s="617"/>
      <c r="H158" s="872"/>
      <c r="I158" s="823">
        <f t="shared" si="37"/>
        <v>0</v>
      </c>
      <c r="J158" s="698"/>
      <c r="K158" s="601"/>
      <c r="L158" s="701"/>
      <c r="M158" s="601"/>
      <c r="N158" s="612"/>
      <c r="O158" s="1038"/>
      <c r="P158" s="612"/>
      <c r="Q158" s="850"/>
      <c r="R158" s="612"/>
      <c r="S158" s="903">
        <f t="shared" si="46"/>
        <v>0</v>
      </c>
      <c r="T158" s="904" t="e">
        <f t="shared" si="47"/>
        <v>#DIV/0!</v>
      </c>
    </row>
    <row r="159" spans="1:24" s="148" customFormat="1" ht="33.75" customHeight="1" x14ac:dyDescent="0.25">
      <c r="A159" s="97"/>
      <c r="B159" s="819"/>
      <c r="C159" s="616"/>
      <c r="D159" s="744"/>
      <c r="E159" s="716"/>
      <c r="F159" s="872"/>
      <c r="G159" s="617"/>
      <c r="H159" s="872"/>
      <c r="I159" s="823">
        <f t="shared" si="37"/>
        <v>0</v>
      </c>
      <c r="J159" s="698"/>
      <c r="K159" s="601"/>
      <c r="L159" s="701"/>
      <c r="M159" s="601"/>
      <c r="N159" s="612"/>
      <c r="O159" s="1038"/>
      <c r="P159" s="612"/>
      <c r="Q159" s="850"/>
      <c r="R159" s="612"/>
      <c r="S159" s="903">
        <f t="shared" si="46"/>
        <v>0</v>
      </c>
      <c r="T159" s="904" t="e">
        <f t="shared" si="47"/>
        <v>#DIV/0!</v>
      </c>
    </row>
    <row r="160" spans="1:24" s="148" customFormat="1" ht="35.25" customHeight="1" x14ac:dyDescent="0.25">
      <c r="A160" s="97"/>
      <c r="B160" s="819"/>
      <c r="C160" s="616"/>
      <c r="D160" s="616"/>
      <c r="E160" s="716"/>
      <c r="F160" s="872"/>
      <c r="G160" s="617"/>
      <c r="H160" s="872"/>
      <c r="I160" s="823">
        <f t="shared" ref="I160:I162" si="48">H160-F160</f>
        <v>0</v>
      </c>
      <c r="J160" s="698"/>
      <c r="K160" s="601"/>
      <c r="L160" s="701"/>
      <c r="M160" s="601"/>
      <c r="N160" s="612"/>
      <c r="O160" s="1038"/>
      <c r="P160" s="612"/>
      <c r="Q160" s="850"/>
      <c r="R160" s="612"/>
      <c r="S160" s="903">
        <f t="shared" si="46"/>
        <v>0</v>
      </c>
      <c r="T160" s="904" t="e">
        <f t="shared" si="47"/>
        <v>#DIV/0!</v>
      </c>
    </row>
    <row r="161" spans="1:20" s="148" customFormat="1" ht="30" customHeight="1" x14ac:dyDescent="0.3">
      <c r="A161" s="97"/>
      <c r="B161" s="819"/>
      <c r="C161" s="820"/>
      <c r="D161" s="472"/>
      <c r="E161" s="716"/>
      <c r="F161" s="873"/>
      <c r="G161" s="591"/>
      <c r="H161" s="874"/>
      <c r="I161" s="824">
        <f t="shared" si="48"/>
        <v>0</v>
      </c>
      <c r="J161" s="747"/>
      <c r="K161" s="601"/>
      <c r="L161" s="701"/>
      <c r="M161" s="601"/>
      <c r="N161" s="612"/>
      <c r="O161" s="1038"/>
      <c r="P161" s="612"/>
      <c r="Q161" s="850"/>
      <c r="R161" s="612"/>
      <c r="S161" s="903">
        <f t="shared" si="46"/>
        <v>0</v>
      </c>
      <c r="T161" s="904" t="e">
        <f t="shared" si="47"/>
        <v>#DIV/0!</v>
      </c>
    </row>
    <row r="162" spans="1:20" s="148" customFormat="1" ht="33" customHeight="1" x14ac:dyDescent="0.3">
      <c r="A162" s="97"/>
      <c r="B162" s="957"/>
      <c r="C162" s="616"/>
      <c r="D162" s="742"/>
      <c r="E162" s="821"/>
      <c r="F162" s="874"/>
      <c r="G162" s="745"/>
      <c r="H162" s="874"/>
      <c r="I162" s="825">
        <f t="shared" si="48"/>
        <v>0</v>
      </c>
      <c r="J162" s="748"/>
      <c r="K162" s="601"/>
      <c r="L162" s="701"/>
      <c r="M162" s="601"/>
      <c r="N162" s="612"/>
      <c r="O162" s="1038"/>
      <c r="P162" s="612"/>
      <c r="Q162" s="850"/>
      <c r="R162" s="612"/>
      <c r="S162" s="903">
        <f t="shared" si="46"/>
        <v>0</v>
      </c>
      <c r="T162" s="904" t="e">
        <f t="shared" si="47"/>
        <v>#DIV/0!</v>
      </c>
    </row>
    <row r="163" spans="1:20" s="148" customFormat="1" ht="32.25" customHeight="1" x14ac:dyDescent="0.25">
      <c r="A163" s="97"/>
      <c r="B163" s="351"/>
      <c r="C163" s="351"/>
      <c r="D163" s="351"/>
      <c r="E163" s="493"/>
      <c r="F163" s="875"/>
      <c r="G163" s="503"/>
      <c r="H163" s="875"/>
      <c r="I163" s="102">
        <f t="shared" ref="I163:I187" si="49">H163-F163</f>
        <v>0</v>
      </c>
      <c r="J163" s="591"/>
      <c r="K163" s="601"/>
      <c r="L163" s="701"/>
      <c r="M163" s="601"/>
      <c r="N163" s="703"/>
      <c r="O163" s="1034"/>
      <c r="P163" s="780"/>
      <c r="Q163" s="472"/>
      <c r="R163" s="749"/>
      <c r="S163" s="903">
        <f t="shared" ref="S163:S172" si="50">Q163+M163+K163</f>
        <v>0</v>
      </c>
      <c r="T163" s="904" t="e">
        <f t="shared" ref="T163:T172" si="51">S163/H163</f>
        <v>#DIV/0!</v>
      </c>
    </row>
    <row r="164" spans="1:20" s="148" customFormat="1" ht="19.5" customHeight="1" x14ac:dyDescent="0.25">
      <c r="A164" s="97"/>
      <c r="B164" s="351"/>
      <c r="C164" s="351"/>
      <c r="D164" s="351"/>
      <c r="E164" s="493"/>
      <c r="F164" s="875"/>
      <c r="G164" s="503"/>
      <c r="H164" s="875"/>
      <c r="I164" s="102">
        <f t="shared" si="49"/>
        <v>0</v>
      </c>
      <c r="J164" s="591"/>
      <c r="K164" s="601"/>
      <c r="L164" s="701"/>
      <c r="M164" s="601"/>
      <c r="N164" s="703"/>
      <c r="O164" s="1034"/>
      <c r="P164" s="780"/>
      <c r="Q164" s="472"/>
      <c r="R164" s="749"/>
      <c r="S164" s="903">
        <f t="shared" si="50"/>
        <v>0</v>
      </c>
      <c r="T164" s="904" t="e">
        <f t="shared" si="51"/>
        <v>#DIV/0!</v>
      </c>
    </row>
    <row r="165" spans="1:20" s="148" customFormat="1" x14ac:dyDescent="0.25">
      <c r="A165" s="97"/>
      <c r="B165" s="376"/>
      <c r="C165" s="72"/>
      <c r="D165" s="152"/>
      <c r="E165" s="145"/>
      <c r="F165" s="876"/>
      <c r="G165" s="97"/>
      <c r="H165" s="880"/>
      <c r="I165" s="102">
        <f t="shared" si="49"/>
        <v>0</v>
      </c>
      <c r="J165" s="170"/>
      <c r="K165" s="211"/>
      <c r="L165" s="536"/>
      <c r="M165" s="210"/>
      <c r="N165" s="680"/>
      <c r="O165" s="1031"/>
      <c r="P165" s="781"/>
      <c r="Q165" s="473"/>
      <c r="R165" s="542"/>
      <c r="S165" s="903">
        <f t="shared" si="50"/>
        <v>0</v>
      </c>
      <c r="T165" s="904" t="e">
        <f t="shared" si="51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76"/>
      <c r="G166" s="97"/>
      <c r="H166" s="880"/>
      <c r="I166" s="102">
        <f t="shared" si="49"/>
        <v>0</v>
      </c>
      <c r="J166" s="170"/>
      <c r="K166" s="211"/>
      <c r="L166" s="536"/>
      <c r="M166" s="210"/>
      <c r="N166" s="680"/>
      <c r="O166" s="1031"/>
      <c r="P166" s="781"/>
      <c r="Q166" s="473"/>
      <c r="R166" s="542"/>
      <c r="S166" s="903">
        <f t="shared" si="50"/>
        <v>0</v>
      </c>
      <c r="T166" s="904" t="e">
        <f t="shared" si="51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76"/>
      <c r="G167" s="97"/>
      <c r="H167" s="880"/>
      <c r="I167" s="102">
        <f t="shared" si="49"/>
        <v>0</v>
      </c>
      <c r="J167" s="170"/>
      <c r="K167" s="211"/>
      <c r="L167" s="536"/>
      <c r="M167" s="210"/>
      <c r="N167" s="680"/>
      <c r="O167" s="1031"/>
      <c r="P167" s="781"/>
      <c r="Q167" s="473"/>
      <c r="R167" s="542"/>
      <c r="S167" s="903">
        <f t="shared" si="50"/>
        <v>0</v>
      </c>
      <c r="T167" s="904" t="e">
        <f t="shared" si="51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76"/>
      <c r="G168" s="97"/>
      <c r="H168" s="880"/>
      <c r="I168" s="102">
        <f t="shared" si="49"/>
        <v>0</v>
      </c>
      <c r="J168" s="170"/>
      <c r="K168" s="211"/>
      <c r="L168" s="536"/>
      <c r="M168" s="210"/>
      <c r="N168" s="680"/>
      <c r="O168" s="1031"/>
      <c r="P168" s="781"/>
      <c r="Q168" s="473"/>
      <c r="R168" s="542"/>
      <c r="S168" s="903">
        <f t="shared" si="50"/>
        <v>0</v>
      </c>
      <c r="T168" s="904" t="e">
        <f t="shared" si="51"/>
        <v>#DIV/0!</v>
      </c>
    </row>
    <row r="169" spans="1:20" s="148" customFormat="1" x14ac:dyDescent="0.25">
      <c r="A169" s="97"/>
      <c r="B169" s="74"/>
      <c r="C169" s="72"/>
      <c r="D169" s="152"/>
      <c r="E169" s="145"/>
      <c r="F169" s="876"/>
      <c r="G169" s="97"/>
      <c r="H169" s="880"/>
      <c r="I169" s="102">
        <f t="shared" si="49"/>
        <v>0</v>
      </c>
      <c r="J169" s="170"/>
      <c r="K169" s="211"/>
      <c r="L169" s="536"/>
      <c r="M169" s="210"/>
      <c r="N169" s="680"/>
      <c r="O169" s="1031"/>
      <c r="P169" s="781"/>
      <c r="Q169" s="473"/>
      <c r="R169" s="542"/>
      <c r="S169" s="903">
        <f t="shared" si="50"/>
        <v>0</v>
      </c>
      <c r="T169" s="904" t="e">
        <f t="shared" si="51"/>
        <v>#DIV/0!</v>
      </c>
    </row>
    <row r="170" spans="1:20" s="148" customFormat="1" x14ac:dyDescent="0.25">
      <c r="A170" s="97"/>
      <c r="B170" s="74"/>
      <c r="C170" s="72"/>
      <c r="D170" s="152"/>
      <c r="E170" s="145"/>
      <c r="F170" s="876"/>
      <c r="G170" s="97"/>
      <c r="H170" s="880"/>
      <c r="I170" s="102">
        <f t="shared" si="49"/>
        <v>0</v>
      </c>
      <c r="J170" s="170"/>
      <c r="K170" s="211"/>
      <c r="L170" s="536"/>
      <c r="M170" s="210"/>
      <c r="N170" s="680"/>
      <c r="O170" s="1031"/>
      <c r="P170" s="781"/>
      <c r="Q170" s="473"/>
      <c r="R170" s="542"/>
      <c r="S170" s="903">
        <f t="shared" si="50"/>
        <v>0</v>
      </c>
      <c r="T170" s="904" t="e">
        <f t="shared" si="51"/>
        <v>#DIV/0!</v>
      </c>
    </row>
    <row r="171" spans="1:20" s="148" customFormat="1" x14ac:dyDescent="0.25">
      <c r="A171" s="97"/>
      <c r="B171" s="74"/>
      <c r="C171" s="72"/>
      <c r="D171" s="152"/>
      <c r="E171" s="145"/>
      <c r="F171" s="876"/>
      <c r="G171" s="97"/>
      <c r="H171" s="880"/>
      <c r="I171" s="102">
        <f t="shared" si="49"/>
        <v>0</v>
      </c>
      <c r="J171" s="170"/>
      <c r="K171" s="211"/>
      <c r="L171" s="536"/>
      <c r="M171" s="210"/>
      <c r="N171" s="680"/>
      <c r="O171" s="1031"/>
      <c r="P171" s="781"/>
      <c r="Q171" s="473"/>
      <c r="R171" s="542"/>
      <c r="S171" s="903">
        <f t="shared" si="50"/>
        <v>0</v>
      </c>
      <c r="T171" s="904" t="e">
        <f t="shared" si="51"/>
        <v>#DIV/0!</v>
      </c>
    </row>
    <row r="172" spans="1:20" s="148" customFormat="1" x14ac:dyDescent="0.25">
      <c r="A172" s="97"/>
      <c r="B172" s="74"/>
      <c r="C172" s="72"/>
      <c r="D172" s="152"/>
      <c r="E172" s="145"/>
      <c r="F172" s="876"/>
      <c r="G172" s="97"/>
      <c r="H172" s="880"/>
      <c r="I172" s="102">
        <f t="shared" si="49"/>
        <v>0</v>
      </c>
      <c r="J172" s="170"/>
      <c r="K172" s="211"/>
      <c r="L172" s="536"/>
      <c r="M172" s="210"/>
      <c r="N172" s="681"/>
      <c r="O172" s="1031"/>
      <c r="P172" s="781"/>
      <c r="Q172" s="474"/>
      <c r="R172" s="543"/>
      <c r="S172" s="903">
        <f t="shared" si="50"/>
        <v>0</v>
      </c>
      <c r="T172" s="904" t="e">
        <f t="shared" si="51"/>
        <v>#DIV/0!</v>
      </c>
    </row>
    <row r="173" spans="1:20" s="148" customFormat="1" x14ac:dyDescent="0.25">
      <c r="A173" s="97"/>
      <c r="B173" s="74"/>
      <c r="C173" s="72"/>
      <c r="D173" s="152"/>
      <c r="E173" s="145"/>
      <c r="F173" s="876"/>
      <c r="G173" s="97"/>
      <c r="H173" s="880"/>
      <c r="I173" s="102">
        <f t="shared" si="49"/>
        <v>0</v>
      </c>
      <c r="J173" s="170"/>
      <c r="K173" s="211"/>
      <c r="L173" s="536"/>
      <c r="M173" s="210"/>
      <c r="N173" s="681"/>
      <c r="O173" s="1031"/>
      <c r="P173" s="781"/>
      <c r="Q173" s="474"/>
      <c r="R173" s="543"/>
      <c r="S173" s="903"/>
      <c r="T173" s="903"/>
    </row>
    <row r="174" spans="1:20" s="148" customFormat="1" x14ac:dyDescent="0.25">
      <c r="A174" s="97"/>
      <c r="B174" s="74"/>
      <c r="C174" s="72"/>
      <c r="D174" s="152"/>
      <c r="E174" s="145"/>
      <c r="F174" s="876"/>
      <c r="G174" s="97"/>
      <c r="H174" s="880"/>
      <c r="I174" s="102">
        <f t="shared" si="49"/>
        <v>0</v>
      </c>
      <c r="J174" s="170"/>
      <c r="K174" s="211"/>
      <c r="L174" s="536"/>
      <c r="M174" s="210"/>
      <c r="N174" s="681"/>
      <c r="O174" s="1031"/>
      <c r="P174" s="781"/>
      <c r="Q174" s="474"/>
      <c r="R174" s="543"/>
      <c r="S174" s="903"/>
      <c r="T174" s="903"/>
    </row>
    <row r="175" spans="1:20" s="148" customFormat="1" ht="16.5" thickBot="1" x14ac:dyDescent="0.3">
      <c r="A175" s="97"/>
      <c r="B175" s="74"/>
      <c r="C175" s="142"/>
      <c r="D175" s="142"/>
      <c r="E175" s="130"/>
      <c r="F175" s="860"/>
      <c r="G175" s="97"/>
      <c r="H175" s="880"/>
      <c r="I175" s="102">
        <f t="shared" si="49"/>
        <v>0</v>
      </c>
      <c r="J175" s="170"/>
      <c r="K175" s="105"/>
      <c r="L175" s="536"/>
      <c r="M175" s="70"/>
      <c r="N175" s="681"/>
      <c r="O175" s="1031"/>
      <c r="P175" s="373"/>
      <c r="Q175" s="475"/>
      <c r="R175" s="544"/>
      <c r="S175" s="903">
        <f t="shared" ref="S175:S180" si="52">Q175+M175+K175</f>
        <v>0</v>
      </c>
      <c r="T175" s="903" t="e">
        <f t="shared" ref="T175:T183" si="53">S175/H175+0.1</f>
        <v>#DIV/0!</v>
      </c>
    </row>
    <row r="176" spans="1:20" s="148" customFormat="1" ht="16.5" hidden="1" thickBot="1" x14ac:dyDescent="0.3">
      <c r="A176" s="97"/>
      <c r="B176" s="74"/>
      <c r="C176" s="74"/>
      <c r="D176" s="142"/>
      <c r="E176" s="130"/>
      <c r="F176" s="860"/>
      <c r="G176" s="97"/>
      <c r="H176" s="880"/>
      <c r="I176" s="102">
        <f t="shared" si="49"/>
        <v>0</v>
      </c>
      <c r="J176" s="170"/>
      <c r="K176" s="105"/>
      <c r="L176" s="536"/>
      <c r="M176" s="70"/>
      <c r="N176" s="681"/>
      <c r="O176" s="1031"/>
      <c r="P176" s="373"/>
      <c r="Q176" s="476"/>
      <c r="R176" s="545"/>
      <c r="S176" s="903">
        <f t="shared" si="52"/>
        <v>0</v>
      </c>
      <c r="T176" s="903" t="e">
        <f t="shared" si="53"/>
        <v>#DIV/0!</v>
      </c>
    </row>
    <row r="177" spans="1:20" s="148" customFormat="1" ht="16.5" hidden="1" thickBot="1" x14ac:dyDescent="0.3">
      <c r="A177" s="97"/>
      <c r="B177" s="74"/>
      <c r="C177" s="74"/>
      <c r="D177" s="142"/>
      <c r="E177" s="130"/>
      <c r="F177" s="860"/>
      <c r="G177" s="97"/>
      <c r="H177" s="880"/>
      <c r="I177" s="102">
        <f t="shared" si="49"/>
        <v>0</v>
      </c>
      <c r="J177" s="170"/>
      <c r="K177" s="105"/>
      <c r="L177" s="536"/>
      <c r="M177" s="70"/>
      <c r="N177" s="681"/>
      <c r="O177" s="1031"/>
      <c r="P177" s="373"/>
      <c r="Q177" s="476"/>
      <c r="R177" s="545"/>
      <c r="S177" s="903">
        <f t="shared" si="52"/>
        <v>0</v>
      </c>
      <c r="T177" s="903" t="e">
        <f t="shared" si="53"/>
        <v>#DIV/0!</v>
      </c>
    </row>
    <row r="178" spans="1:20" s="148" customFormat="1" ht="16.5" hidden="1" thickBot="1" x14ac:dyDescent="0.3">
      <c r="A178" s="97"/>
      <c r="B178" s="74"/>
      <c r="C178" s="74"/>
      <c r="D178" s="142"/>
      <c r="E178" s="130"/>
      <c r="F178" s="860"/>
      <c r="G178" s="97"/>
      <c r="H178" s="880"/>
      <c r="I178" s="102">
        <f t="shared" si="49"/>
        <v>0</v>
      </c>
      <c r="J178" s="170"/>
      <c r="K178" s="105"/>
      <c r="L178" s="536"/>
      <c r="M178" s="70"/>
      <c r="N178" s="681"/>
      <c r="O178" s="1031"/>
      <c r="P178" s="373"/>
      <c r="Q178" s="476"/>
      <c r="R178" s="546"/>
      <c r="S178" s="903">
        <f t="shared" si="52"/>
        <v>0</v>
      </c>
      <c r="T178" s="903" t="e">
        <f t="shared" si="53"/>
        <v>#DIV/0!</v>
      </c>
    </row>
    <row r="179" spans="1:20" s="148" customFormat="1" ht="16.5" hidden="1" thickBot="1" x14ac:dyDescent="0.3">
      <c r="A179" s="97"/>
      <c r="B179" s="74"/>
      <c r="C179" s="74"/>
      <c r="D179" s="142"/>
      <c r="E179" s="130"/>
      <c r="F179" s="860"/>
      <c r="G179" s="97"/>
      <c r="H179" s="880"/>
      <c r="I179" s="102">
        <f t="shared" si="49"/>
        <v>0</v>
      </c>
      <c r="J179" s="170"/>
      <c r="K179" s="105"/>
      <c r="L179" s="536"/>
      <c r="M179" s="70"/>
      <c r="N179" s="681"/>
      <c r="O179" s="1031"/>
      <c r="P179" s="373"/>
      <c r="Q179" s="476"/>
      <c r="R179" s="546"/>
      <c r="S179" s="903">
        <f t="shared" si="52"/>
        <v>0</v>
      </c>
      <c r="T179" s="903" t="e">
        <f t="shared" si="53"/>
        <v>#DIV/0!</v>
      </c>
    </row>
    <row r="180" spans="1:20" s="148" customFormat="1" ht="16.5" hidden="1" thickBot="1" x14ac:dyDescent="0.3">
      <c r="A180" s="97"/>
      <c r="B180" s="74"/>
      <c r="C180" s="142"/>
      <c r="E180" s="130"/>
      <c r="F180" s="860"/>
      <c r="G180" s="97"/>
      <c r="H180" s="880"/>
      <c r="I180" s="102">
        <f t="shared" si="49"/>
        <v>0</v>
      </c>
      <c r="J180" s="170"/>
      <c r="K180" s="105"/>
      <c r="L180" s="536"/>
      <c r="M180" s="70"/>
      <c r="N180" s="681"/>
      <c r="O180" s="1031"/>
      <c r="P180" s="373"/>
      <c r="Q180" s="363"/>
      <c r="R180" s="547"/>
      <c r="S180" s="903">
        <f t="shared" si="52"/>
        <v>0</v>
      </c>
      <c r="T180" s="903" t="e">
        <f t="shared" si="53"/>
        <v>#DIV/0!</v>
      </c>
    </row>
    <row r="181" spans="1:20" s="148" customFormat="1" ht="16.5" hidden="1" thickBot="1" x14ac:dyDescent="0.3">
      <c r="A181" s="97"/>
      <c r="B181" s="74"/>
      <c r="C181" s="142"/>
      <c r="D181" s="98"/>
      <c r="E181" s="130"/>
      <c r="F181" s="860"/>
      <c r="G181" s="97"/>
      <c r="H181" s="880"/>
      <c r="I181" s="102">
        <f t="shared" si="49"/>
        <v>0</v>
      </c>
      <c r="J181" s="170"/>
      <c r="K181" s="105"/>
      <c r="L181" s="536"/>
      <c r="M181" s="70"/>
      <c r="N181" s="681"/>
      <c r="O181" s="1031"/>
      <c r="P181" s="373"/>
      <c r="Q181" s="363"/>
      <c r="R181" s="547"/>
      <c r="S181" s="903">
        <f t="shared" ref="S181:S186" si="54">Q181+M181+K181</f>
        <v>0</v>
      </c>
      <c r="T181" s="903" t="e">
        <f t="shared" si="53"/>
        <v>#DIV/0!</v>
      </c>
    </row>
    <row r="182" spans="1:20" s="148" customFormat="1" ht="16.5" hidden="1" thickBot="1" x14ac:dyDescent="0.3">
      <c r="A182" s="97"/>
      <c r="B182" s="74"/>
      <c r="C182" s="144"/>
      <c r="D182" s="98"/>
      <c r="E182" s="130"/>
      <c r="F182" s="860"/>
      <c r="G182" s="97"/>
      <c r="H182" s="880"/>
      <c r="I182" s="102">
        <f t="shared" si="49"/>
        <v>0</v>
      </c>
      <c r="J182" s="170"/>
      <c r="K182" s="105"/>
      <c r="L182" s="536"/>
      <c r="M182" s="70"/>
      <c r="N182" s="681"/>
      <c r="O182" s="1031"/>
      <c r="P182" s="373"/>
      <c r="Q182" s="363"/>
      <c r="R182" s="547"/>
      <c r="S182" s="903">
        <f t="shared" si="54"/>
        <v>0</v>
      </c>
      <c r="T182" s="903" t="e">
        <f t="shared" si="53"/>
        <v>#DIV/0!</v>
      </c>
    </row>
    <row r="183" spans="1:20" s="148" customFormat="1" ht="16.5" hidden="1" thickBot="1" x14ac:dyDescent="0.3">
      <c r="A183" s="97"/>
      <c r="B183" s="74"/>
      <c r="C183" s="144"/>
      <c r="D183" s="98"/>
      <c r="E183" s="130"/>
      <c r="F183" s="860"/>
      <c r="G183" s="97"/>
      <c r="H183" s="880"/>
      <c r="I183" s="102">
        <f t="shared" si="49"/>
        <v>0</v>
      </c>
      <c r="J183" s="170"/>
      <c r="K183" s="105"/>
      <c r="L183" s="536"/>
      <c r="M183" s="70"/>
      <c r="N183" s="681"/>
      <c r="O183" s="1031"/>
      <c r="P183" s="373"/>
      <c r="Q183" s="363"/>
      <c r="R183" s="547"/>
      <c r="S183" s="903">
        <f t="shared" si="54"/>
        <v>0</v>
      </c>
      <c r="T183" s="903" t="e">
        <f t="shared" si="53"/>
        <v>#DIV/0!</v>
      </c>
    </row>
    <row r="184" spans="1:20" s="148" customFormat="1" ht="16.5" hidden="1" thickBot="1" x14ac:dyDescent="0.3">
      <c r="A184" s="97"/>
      <c r="B184" s="74"/>
      <c r="C184" s="144"/>
      <c r="D184" s="98"/>
      <c r="E184" s="130"/>
      <c r="F184" s="860"/>
      <c r="G184" s="97"/>
      <c r="H184" s="880"/>
      <c r="I184" s="102">
        <f t="shared" si="49"/>
        <v>0</v>
      </c>
      <c r="J184" s="170"/>
      <c r="K184" s="105"/>
      <c r="L184" s="536"/>
      <c r="M184" s="70"/>
      <c r="N184" s="681"/>
      <c r="O184" s="1031"/>
      <c r="P184" s="373"/>
      <c r="Q184" s="363"/>
      <c r="R184" s="547"/>
      <c r="S184" s="903">
        <f t="shared" si="54"/>
        <v>0</v>
      </c>
      <c r="T184" s="903" t="e">
        <f>S184/H184</f>
        <v>#DIV/0!</v>
      </c>
    </row>
    <row r="185" spans="1:20" s="148" customFormat="1" ht="16.5" hidden="1" thickBot="1" x14ac:dyDescent="0.3">
      <c r="A185" s="97"/>
      <c r="B185" s="74"/>
      <c r="C185" s="144"/>
      <c r="D185" s="149"/>
      <c r="E185" s="130"/>
      <c r="F185" s="860"/>
      <c r="G185" s="97"/>
      <c r="H185" s="880"/>
      <c r="I185" s="102">
        <f t="shared" si="49"/>
        <v>0</v>
      </c>
      <c r="J185" s="170"/>
      <c r="K185" s="105"/>
      <c r="L185" s="536"/>
      <c r="M185" s="70"/>
      <c r="N185" s="681"/>
      <c r="O185" s="1031"/>
      <c r="P185" s="373"/>
      <c r="Q185" s="477"/>
      <c r="R185" s="544"/>
      <c r="S185" s="903">
        <f t="shared" si="54"/>
        <v>0</v>
      </c>
      <c r="T185" s="903" t="e">
        <f>S185/H185</f>
        <v>#DIV/0!</v>
      </c>
    </row>
    <row r="186" spans="1:20" s="148" customFormat="1" ht="16.5" hidden="1" thickBot="1" x14ac:dyDescent="0.3">
      <c r="A186" s="97"/>
      <c r="B186" s="74"/>
      <c r="C186" s="144"/>
      <c r="D186" s="149"/>
      <c r="E186" s="130"/>
      <c r="F186" s="860"/>
      <c r="G186" s="97"/>
      <c r="H186" s="880"/>
      <c r="I186" s="102">
        <f t="shared" si="49"/>
        <v>0</v>
      </c>
      <c r="J186" s="170"/>
      <c r="K186" s="105"/>
      <c r="L186" s="536"/>
      <c r="M186" s="70"/>
      <c r="N186" s="681"/>
      <c r="O186" s="1031"/>
      <c r="P186" s="373"/>
      <c r="Q186" s="477"/>
      <c r="R186" s="548"/>
      <c r="S186" s="903">
        <f t="shared" si="54"/>
        <v>0</v>
      </c>
      <c r="T186" s="903" t="e">
        <f>S186/H186</f>
        <v>#DIV/0!</v>
      </c>
    </row>
    <row r="187" spans="1:20" s="148" customFormat="1" ht="16.5" hidden="1" thickBot="1" x14ac:dyDescent="0.3">
      <c r="A187" s="97"/>
      <c r="B187" s="74"/>
      <c r="C187" s="94"/>
      <c r="D187" s="149"/>
      <c r="E187" s="413"/>
      <c r="F187" s="860"/>
      <c r="G187" s="97"/>
      <c r="H187" s="880"/>
      <c r="I187" s="102">
        <f t="shared" si="49"/>
        <v>0</v>
      </c>
      <c r="J187" s="125"/>
      <c r="K187" s="157"/>
      <c r="L187" s="537"/>
      <c r="M187" s="70"/>
      <c r="N187" s="682"/>
      <c r="O187" s="1031"/>
      <c r="P187" s="373"/>
      <c r="Q187" s="363"/>
      <c r="R187" s="549"/>
      <c r="S187" s="903">
        <f>Q187+M187+K187</f>
        <v>0</v>
      </c>
      <c r="T187" s="903" t="e">
        <f>S187/H187+0.1</f>
        <v>#DIV/0!</v>
      </c>
    </row>
    <row r="188" spans="1:20" s="148" customFormat="1" ht="29.25" customHeight="1" thickTop="1" thickBot="1" x14ac:dyDescent="0.3">
      <c r="A188" s="97"/>
      <c r="B188" s="74"/>
      <c r="C188" s="94"/>
      <c r="D188" s="158"/>
      <c r="E188" s="130"/>
      <c r="F188" s="877" t="s">
        <v>31</v>
      </c>
      <c r="G188" s="71">
        <f>SUM(G5:G187)</f>
        <v>5289</v>
      </c>
      <c r="H188" s="886">
        <f>SUM(H3:H187)</f>
        <v>616306.42999999993</v>
      </c>
      <c r="I188" s="427">
        <f>PIERNA!I37</f>
        <v>0</v>
      </c>
      <c r="J188" s="46"/>
      <c r="K188" s="159">
        <f>SUM(K5:K187)</f>
        <v>285135</v>
      </c>
      <c r="L188" s="538"/>
      <c r="M188" s="159">
        <f>SUM(M5:M187)</f>
        <v>890880</v>
      </c>
      <c r="N188" s="683"/>
      <c r="O188" s="1039"/>
      <c r="P188" s="782"/>
      <c r="Q188" s="478">
        <f>SUM(Q5:Q187)</f>
        <v>26779357.194189999</v>
      </c>
      <c r="R188" s="550"/>
      <c r="S188" s="905">
        <f>Q188+M188+K188</f>
        <v>27955372.194189999</v>
      </c>
      <c r="T188" s="903"/>
    </row>
    <row r="189" spans="1:20" s="148" customFormat="1" ht="16.5" thickTop="1" x14ac:dyDescent="0.25">
      <c r="B189" s="74"/>
      <c r="C189" s="74"/>
      <c r="D189" s="97"/>
      <c r="E189" s="130"/>
      <c r="F189" s="867"/>
      <c r="G189" s="97"/>
      <c r="H189" s="867"/>
      <c r="I189" s="74"/>
      <c r="J189" s="125"/>
      <c r="L189" s="539"/>
      <c r="N189" s="684"/>
      <c r="O189" s="1029"/>
      <c r="P189" s="373"/>
      <c r="Q189" s="363"/>
      <c r="R189" s="438" t="s">
        <v>42</v>
      </c>
      <c r="S189" s="404"/>
      <c r="T189" s="404"/>
    </row>
  </sheetData>
  <sortState ref="A101:AC105">
    <sortCondition ref="E99:E100"/>
  </sortState>
  <mergeCells count="40">
    <mergeCell ref="R135:R136"/>
    <mergeCell ref="R114:R115"/>
    <mergeCell ref="Q1:Q2"/>
    <mergeCell ref="K1:K2"/>
    <mergeCell ref="M1:M2"/>
    <mergeCell ref="J39:K39"/>
    <mergeCell ref="J40:K40"/>
    <mergeCell ref="R106:R108"/>
    <mergeCell ref="R101:R102"/>
    <mergeCell ref="L120:L122"/>
    <mergeCell ref="L134:L136"/>
    <mergeCell ref="B101:B102"/>
    <mergeCell ref="O101:O102"/>
    <mergeCell ref="B103:B104"/>
    <mergeCell ref="E103:E104"/>
    <mergeCell ref="O103:O104"/>
    <mergeCell ref="B106:B108"/>
    <mergeCell ref="E106:E108"/>
    <mergeCell ref="O106:O108"/>
    <mergeCell ref="O120:O121"/>
    <mergeCell ref="B120:B121"/>
    <mergeCell ref="E120:E121"/>
    <mergeCell ref="E114:E115"/>
    <mergeCell ref="O114:O115"/>
    <mergeCell ref="B134:B136"/>
    <mergeCell ref="E134:E136"/>
    <mergeCell ref="O134:O136"/>
    <mergeCell ref="R129:R132"/>
    <mergeCell ref="R111:R113"/>
    <mergeCell ref="R117:R118"/>
    <mergeCell ref="B111:B113"/>
    <mergeCell ref="E111:E113"/>
    <mergeCell ref="O111:O113"/>
    <mergeCell ref="B129:B132"/>
    <mergeCell ref="E129:E132"/>
    <mergeCell ref="O129:O132"/>
    <mergeCell ref="B114:B115"/>
    <mergeCell ref="B117:B118"/>
    <mergeCell ref="E117:E118"/>
    <mergeCell ref="O117:O11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T84"/>
  <sheetViews>
    <sheetView topLeftCell="G1" workbookViewId="0">
      <pane ySplit="9" topLeftCell="A10" activePane="bottomLeft" state="frozen"/>
      <selection pane="bottomLeft" activeCell="L21" sqref="L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63" t="s">
        <v>311</v>
      </c>
      <c r="B1" s="1663"/>
      <c r="C1" s="1663"/>
      <c r="D1" s="1663"/>
      <c r="E1" s="1663"/>
      <c r="F1" s="1663"/>
      <c r="G1" s="1663"/>
      <c r="H1" s="11">
        <v>1</v>
      </c>
      <c r="K1" s="1668" t="s">
        <v>345</v>
      </c>
      <c r="L1" s="1668"/>
      <c r="M1" s="1668"/>
      <c r="N1" s="1668"/>
      <c r="O1" s="1668"/>
      <c r="P1" s="1668"/>
      <c r="Q1" s="166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799"/>
      <c r="B4" s="799"/>
      <c r="C4" s="799"/>
      <c r="D4" s="799"/>
      <c r="E4" s="989"/>
      <c r="F4" s="799"/>
      <c r="G4" s="800"/>
      <c r="H4" s="800"/>
      <c r="K4" s="799"/>
      <c r="L4" s="799"/>
      <c r="M4" s="799"/>
      <c r="N4" s="799"/>
      <c r="O4" s="989"/>
      <c r="P4" s="799"/>
      <c r="Q4" s="800"/>
      <c r="R4" s="800"/>
    </row>
    <row r="5" spans="1:19" ht="15.75" x14ac:dyDescent="0.25">
      <c r="A5" s="1674" t="s">
        <v>107</v>
      </c>
      <c r="B5" s="12"/>
      <c r="C5" s="507">
        <v>86</v>
      </c>
      <c r="D5" s="218">
        <v>45098</v>
      </c>
      <c r="E5" s="77">
        <v>505.12</v>
      </c>
      <c r="F5" s="61">
        <v>42</v>
      </c>
      <c r="G5" s="151"/>
      <c r="H5" s="151"/>
      <c r="K5" s="1674" t="s">
        <v>107</v>
      </c>
      <c r="L5" s="12"/>
      <c r="M5" s="507">
        <v>85</v>
      </c>
      <c r="N5" s="218">
        <v>45119</v>
      </c>
      <c r="O5" s="77">
        <v>1039.08</v>
      </c>
      <c r="P5" s="61">
        <v>84</v>
      </c>
      <c r="Q5" s="151"/>
      <c r="R5" s="151"/>
    </row>
    <row r="6" spans="1:19" ht="15" customHeight="1" x14ac:dyDescent="0.25">
      <c r="A6" s="1674"/>
      <c r="B6" s="1675" t="s">
        <v>78</v>
      </c>
      <c r="C6" s="447">
        <v>86</v>
      </c>
      <c r="D6" s="130">
        <v>45103</v>
      </c>
      <c r="E6" s="77">
        <v>586.66999999999996</v>
      </c>
      <c r="F6" s="61">
        <v>50</v>
      </c>
      <c r="G6" s="5"/>
      <c r="K6" s="1674"/>
      <c r="L6" s="1675" t="s">
        <v>78</v>
      </c>
      <c r="M6" s="447"/>
      <c r="N6" s="130"/>
      <c r="O6" s="77">
        <v>24.05</v>
      </c>
      <c r="P6" s="61">
        <v>2</v>
      </c>
      <c r="Q6" s="5"/>
    </row>
    <row r="7" spans="1:19" ht="15.75" x14ac:dyDescent="0.25">
      <c r="A7" s="1674"/>
      <c r="B7" s="1675"/>
      <c r="C7" s="507">
        <v>88</v>
      </c>
      <c r="D7" s="130">
        <v>45104</v>
      </c>
      <c r="E7" s="58">
        <v>499.9</v>
      </c>
      <c r="F7" s="61">
        <v>42</v>
      </c>
      <c r="G7" s="47">
        <f>F79</f>
        <v>1591.6899999999998</v>
      </c>
      <c r="H7" s="7">
        <f>E7-G7+E8+E6-G6+E5</f>
        <v>0</v>
      </c>
      <c r="K7" s="1674"/>
      <c r="L7" s="1675"/>
      <c r="M7" s="507"/>
      <c r="N7" s="130"/>
      <c r="O7" s="58"/>
      <c r="P7" s="61"/>
      <c r="Q7" s="47">
        <f>P79</f>
        <v>1063.1299999999999</v>
      </c>
      <c r="R7" s="7">
        <f>O7-Q7+O8+O6-Q6+O5</f>
        <v>0</v>
      </c>
    </row>
    <row r="8" spans="1:19" ht="15.75" thickBot="1" x14ac:dyDescent="0.3">
      <c r="B8" s="19"/>
      <c r="C8" s="441"/>
      <c r="D8" s="130"/>
      <c r="E8" s="446"/>
      <c r="F8" s="1040"/>
      <c r="L8" s="19"/>
      <c r="M8" s="441"/>
      <c r="N8" s="130"/>
      <c r="O8" s="446"/>
      <c r="P8" s="1225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670">
        <f>F7-C10+F6+F8+F5</f>
        <v>119</v>
      </c>
      <c r="C10" s="15">
        <v>15</v>
      </c>
      <c r="D10" s="68">
        <v>179.2</v>
      </c>
      <c r="E10" s="191">
        <v>45098</v>
      </c>
      <c r="F10" s="68">
        <f t="shared" ref="F10:F11" si="0">D10</f>
        <v>179.2</v>
      </c>
      <c r="G10" s="563" t="s">
        <v>217</v>
      </c>
      <c r="H10" s="70">
        <v>88</v>
      </c>
      <c r="I10" s="596">
        <f>E7-F10+E6+E8+E5+E4</f>
        <v>1412.4899999999998</v>
      </c>
      <c r="K10" s="79" t="s">
        <v>32</v>
      </c>
      <c r="L10" s="670">
        <f>P7-M10+P6+P8+P5</f>
        <v>76</v>
      </c>
      <c r="M10" s="15">
        <v>10</v>
      </c>
      <c r="N10" s="68">
        <v>125.01</v>
      </c>
      <c r="O10" s="191">
        <v>45119</v>
      </c>
      <c r="P10" s="68">
        <f t="shared" ref="P10" si="1">N10</f>
        <v>125.01</v>
      </c>
      <c r="Q10" s="563" t="s">
        <v>580</v>
      </c>
      <c r="R10" s="70">
        <v>90</v>
      </c>
      <c r="S10" s="596">
        <f>O7-P10+O6+O8+O5+O4</f>
        <v>938.11999999999989</v>
      </c>
    </row>
    <row r="11" spans="1:19" x14ac:dyDescent="0.25">
      <c r="A11" s="185"/>
      <c r="B11" s="670">
        <f>B10-C11</f>
        <v>118</v>
      </c>
      <c r="C11" s="15">
        <v>1</v>
      </c>
      <c r="D11" s="68">
        <v>12.36</v>
      </c>
      <c r="E11" s="191">
        <v>45099</v>
      </c>
      <c r="F11" s="68">
        <f t="shared" si="0"/>
        <v>12.36</v>
      </c>
      <c r="G11" s="563" t="s">
        <v>249</v>
      </c>
      <c r="H11" s="70">
        <v>88</v>
      </c>
      <c r="I11" s="596">
        <f>I10-F11</f>
        <v>1400.1299999999999</v>
      </c>
      <c r="K11" s="185"/>
      <c r="L11" s="670">
        <f>L10-M11</f>
        <v>66</v>
      </c>
      <c r="M11" s="624">
        <v>10</v>
      </c>
      <c r="N11" s="565">
        <v>123.75</v>
      </c>
      <c r="O11" s="592">
        <v>45121</v>
      </c>
      <c r="P11" s="565">
        <f t="shared" ref="P11:P73" si="2">N11</f>
        <v>123.75</v>
      </c>
      <c r="Q11" s="563" t="s">
        <v>596</v>
      </c>
      <c r="R11" s="564">
        <v>90</v>
      </c>
      <c r="S11" s="596">
        <f>S10-P11</f>
        <v>814.36999999999989</v>
      </c>
    </row>
    <row r="12" spans="1:19" x14ac:dyDescent="0.25">
      <c r="A12" s="174"/>
      <c r="B12" s="670">
        <f t="shared" ref="B12:B75" si="3">B11-C12</f>
        <v>98</v>
      </c>
      <c r="C12" s="624">
        <v>20</v>
      </c>
      <c r="D12" s="565">
        <v>240.2</v>
      </c>
      <c r="E12" s="592">
        <v>45099</v>
      </c>
      <c r="F12" s="565">
        <f t="shared" ref="F12:F73" si="4">D12</f>
        <v>240.2</v>
      </c>
      <c r="G12" s="563" t="s">
        <v>250</v>
      </c>
      <c r="H12" s="564">
        <v>88</v>
      </c>
      <c r="I12" s="596">
        <f t="shared" ref="I12:I75" si="5">I11-F12</f>
        <v>1159.9299999999998</v>
      </c>
      <c r="K12" s="174"/>
      <c r="L12" s="670">
        <f t="shared" ref="L12:L75" si="6">L11-M12</f>
        <v>63</v>
      </c>
      <c r="M12" s="624">
        <v>3</v>
      </c>
      <c r="N12" s="565">
        <v>38.549999999999997</v>
      </c>
      <c r="O12" s="592">
        <v>45121</v>
      </c>
      <c r="P12" s="565">
        <f t="shared" si="2"/>
        <v>38.549999999999997</v>
      </c>
      <c r="Q12" s="563" t="s">
        <v>600</v>
      </c>
      <c r="R12" s="564">
        <v>90</v>
      </c>
      <c r="S12" s="596">
        <f t="shared" ref="S12:S75" si="7">S11-P12</f>
        <v>775.81999999999994</v>
      </c>
    </row>
    <row r="13" spans="1:19" x14ac:dyDescent="0.25">
      <c r="A13" s="1228" t="s">
        <v>305</v>
      </c>
      <c r="B13" s="670">
        <f t="shared" si="3"/>
        <v>92</v>
      </c>
      <c r="C13" s="1219">
        <v>6</v>
      </c>
      <c r="D13" s="1220">
        <v>73.36</v>
      </c>
      <c r="E13" s="592">
        <v>45099</v>
      </c>
      <c r="F13" s="565">
        <f t="shared" ref="F13:F19" si="8">D13</f>
        <v>73.36</v>
      </c>
      <c r="G13" s="563" t="s">
        <v>251</v>
      </c>
      <c r="H13" s="564">
        <v>88</v>
      </c>
      <c r="I13" s="596">
        <f t="shared" si="5"/>
        <v>1086.57</v>
      </c>
      <c r="J13" s="594"/>
      <c r="K13" s="1339"/>
      <c r="L13" s="670">
        <f t="shared" si="6"/>
        <v>62</v>
      </c>
      <c r="M13" s="624">
        <v>1</v>
      </c>
      <c r="N13" s="565">
        <v>12.32</v>
      </c>
      <c r="O13" s="592">
        <v>45121</v>
      </c>
      <c r="P13" s="565">
        <f t="shared" si="2"/>
        <v>12.32</v>
      </c>
      <c r="Q13" s="563" t="s">
        <v>602</v>
      </c>
      <c r="R13" s="564">
        <v>90</v>
      </c>
      <c r="S13" s="596">
        <f t="shared" si="7"/>
        <v>763.49999999999989</v>
      </c>
    </row>
    <row r="14" spans="1:19" x14ac:dyDescent="0.25">
      <c r="A14" s="81" t="s">
        <v>33</v>
      </c>
      <c r="B14" s="670">
        <f t="shared" si="3"/>
        <v>82</v>
      </c>
      <c r="C14" s="624">
        <v>10</v>
      </c>
      <c r="D14" s="565">
        <v>119.21</v>
      </c>
      <c r="E14" s="592">
        <v>45104</v>
      </c>
      <c r="F14" s="565">
        <f t="shared" si="8"/>
        <v>119.21</v>
      </c>
      <c r="G14" s="563" t="s">
        <v>275</v>
      </c>
      <c r="H14" s="564">
        <v>90</v>
      </c>
      <c r="I14" s="596">
        <f t="shared" si="5"/>
        <v>967.3599999999999</v>
      </c>
      <c r="J14" s="594"/>
      <c r="K14" s="81" t="s">
        <v>33</v>
      </c>
      <c r="L14" s="670">
        <f t="shared" si="6"/>
        <v>50</v>
      </c>
      <c r="M14" s="624">
        <v>12</v>
      </c>
      <c r="N14" s="565">
        <v>150.30000000000001</v>
      </c>
      <c r="O14" s="592">
        <v>45122</v>
      </c>
      <c r="P14" s="565">
        <f t="shared" si="2"/>
        <v>150.30000000000001</v>
      </c>
      <c r="Q14" s="563" t="s">
        <v>607</v>
      </c>
      <c r="R14" s="564">
        <v>90</v>
      </c>
      <c r="S14" s="596">
        <f t="shared" si="7"/>
        <v>613.19999999999982</v>
      </c>
    </row>
    <row r="15" spans="1:19" x14ac:dyDescent="0.25">
      <c r="A15" s="1040"/>
      <c r="B15" s="670">
        <f t="shared" si="3"/>
        <v>70</v>
      </c>
      <c r="C15" s="624">
        <v>12</v>
      </c>
      <c r="D15" s="565">
        <v>142.32</v>
      </c>
      <c r="E15" s="592">
        <v>45105</v>
      </c>
      <c r="F15" s="565">
        <f t="shared" si="8"/>
        <v>142.32</v>
      </c>
      <c r="G15" s="563" t="s">
        <v>287</v>
      </c>
      <c r="H15" s="564">
        <v>90</v>
      </c>
      <c r="I15" s="596">
        <f t="shared" si="5"/>
        <v>825.04</v>
      </c>
      <c r="J15" s="594"/>
      <c r="K15" s="1225"/>
      <c r="L15" s="670">
        <f t="shared" si="6"/>
        <v>41</v>
      </c>
      <c r="M15" s="624">
        <v>9</v>
      </c>
      <c r="N15" s="565">
        <v>108.97</v>
      </c>
      <c r="O15" s="592">
        <v>45124</v>
      </c>
      <c r="P15" s="565">
        <f t="shared" si="2"/>
        <v>108.97</v>
      </c>
      <c r="Q15" s="563" t="s">
        <v>622</v>
      </c>
      <c r="R15" s="564">
        <v>90</v>
      </c>
      <c r="S15" s="596">
        <f t="shared" si="7"/>
        <v>504.22999999999979</v>
      </c>
    </row>
    <row r="16" spans="1:19" ht="15.75" customHeight="1" x14ac:dyDescent="0.25">
      <c r="A16" s="1040"/>
      <c r="B16" s="670">
        <f t="shared" si="3"/>
        <v>69</v>
      </c>
      <c r="C16" s="624">
        <v>1</v>
      </c>
      <c r="D16" s="565">
        <v>12.05</v>
      </c>
      <c r="E16" s="592">
        <v>45106</v>
      </c>
      <c r="F16" s="565">
        <f t="shared" si="8"/>
        <v>12.05</v>
      </c>
      <c r="G16" s="563" t="s">
        <v>288</v>
      </c>
      <c r="H16" s="564">
        <v>90</v>
      </c>
      <c r="I16" s="596">
        <f t="shared" si="5"/>
        <v>812.99</v>
      </c>
      <c r="J16" s="594"/>
      <c r="K16" s="1225"/>
      <c r="L16" s="670">
        <f t="shared" si="6"/>
        <v>31</v>
      </c>
      <c r="M16" s="624">
        <v>10</v>
      </c>
      <c r="N16" s="565">
        <v>121.94</v>
      </c>
      <c r="O16" s="592">
        <v>45126</v>
      </c>
      <c r="P16" s="565">
        <f t="shared" si="2"/>
        <v>121.94</v>
      </c>
      <c r="Q16" s="563" t="s">
        <v>643</v>
      </c>
      <c r="R16" s="564">
        <v>90</v>
      </c>
      <c r="S16" s="596">
        <f t="shared" si="7"/>
        <v>382.28999999999979</v>
      </c>
    </row>
    <row r="17" spans="1:20" ht="15.75" customHeight="1" x14ac:dyDescent="0.25">
      <c r="B17" s="628">
        <f t="shared" si="3"/>
        <v>63</v>
      </c>
      <c r="C17" s="624">
        <v>6</v>
      </c>
      <c r="D17" s="565">
        <v>70.86</v>
      </c>
      <c r="E17" s="592">
        <v>45107</v>
      </c>
      <c r="F17" s="565">
        <f t="shared" si="8"/>
        <v>70.86</v>
      </c>
      <c r="G17" s="563" t="s">
        <v>293</v>
      </c>
      <c r="H17" s="564">
        <v>90</v>
      </c>
      <c r="I17" s="625">
        <f t="shared" si="5"/>
        <v>742.13</v>
      </c>
      <c r="J17" s="594"/>
      <c r="L17" s="670">
        <f t="shared" si="6"/>
        <v>23</v>
      </c>
      <c r="M17" s="624">
        <v>8</v>
      </c>
      <c r="N17" s="565">
        <v>98.42</v>
      </c>
      <c r="O17" s="592">
        <v>45129</v>
      </c>
      <c r="P17" s="565">
        <f t="shared" si="2"/>
        <v>98.42</v>
      </c>
      <c r="Q17" s="563" t="s">
        <v>671</v>
      </c>
      <c r="R17" s="564">
        <v>90</v>
      </c>
      <c r="S17" s="596">
        <f t="shared" si="7"/>
        <v>283.86999999999978</v>
      </c>
    </row>
    <row r="18" spans="1:20" x14ac:dyDescent="0.25">
      <c r="B18" s="670">
        <f t="shared" si="3"/>
        <v>63</v>
      </c>
      <c r="C18" s="624"/>
      <c r="D18" s="565"/>
      <c r="E18" s="592"/>
      <c r="F18" s="565">
        <f t="shared" si="8"/>
        <v>0</v>
      </c>
      <c r="G18" s="563"/>
      <c r="H18" s="564"/>
      <c r="I18" s="596">
        <f t="shared" si="5"/>
        <v>742.13</v>
      </c>
      <c r="J18" s="594"/>
      <c r="L18" s="670">
        <f t="shared" si="6"/>
        <v>13</v>
      </c>
      <c r="M18" s="624">
        <v>10</v>
      </c>
      <c r="N18" s="565">
        <v>122.89</v>
      </c>
      <c r="O18" s="592">
        <v>45131</v>
      </c>
      <c r="P18" s="565">
        <f t="shared" si="2"/>
        <v>122.89</v>
      </c>
      <c r="Q18" s="563" t="s">
        <v>679</v>
      </c>
      <c r="R18" s="564">
        <v>90</v>
      </c>
      <c r="S18" s="596">
        <f t="shared" si="7"/>
        <v>160.97999999999979</v>
      </c>
    </row>
    <row r="19" spans="1:20" x14ac:dyDescent="0.25">
      <c r="A19" s="118"/>
      <c r="B19" s="670">
        <f t="shared" si="3"/>
        <v>53</v>
      </c>
      <c r="C19" s="624">
        <v>10</v>
      </c>
      <c r="D19" s="1187">
        <v>119.02</v>
      </c>
      <c r="E19" s="1333">
        <v>45110</v>
      </c>
      <c r="F19" s="1187">
        <f t="shared" si="8"/>
        <v>119.02</v>
      </c>
      <c r="G19" s="1188" t="s">
        <v>493</v>
      </c>
      <c r="H19" s="1189">
        <v>90</v>
      </c>
      <c r="I19" s="596">
        <f t="shared" si="5"/>
        <v>623.11</v>
      </c>
      <c r="J19" s="594"/>
      <c r="K19" s="118"/>
      <c r="L19" s="670">
        <f t="shared" si="6"/>
        <v>3</v>
      </c>
      <c r="M19" s="624">
        <v>10</v>
      </c>
      <c r="N19" s="565">
        <v>123.79</v>
      </c>
      <c r="O19" s="592">
        <v>45134</v>
      </c>
      <c r="P19" s="565">
        <f t="shared" si="2"/>
        <v>123.79</v>
      </c>
      <c r="Q19" s="563" t="s">
        <v>703</v>
      </c>
      <c r="R19" s="564">
        <v>90</v>
      </c>
      <c r="S19" s="596">
        <f t="shared" si="7"/>
        <v>37.189999999999785</v>
      </c>
      <c r="T19" s="594"/>
    </row>
    <row r="20" spans="1:20" x14ac:dyDescent="0.25">
      <c r="A20" s="118"/>
      <c r="B20" s="670">
        <f t="shared" si="3"/>
        <v>45</v>
      </c>
      <c r="C20" s="624">
        <v>8</v>
      </c>
      <c r="D20" s="1187">
        <v>93.68</v>
      </c>
      <c r="E20" s="1333">
        <v>45111</v>
      </c>
      <c r="F20" s="1187">
        <f t="shared" si="4"/>
        <v>93.68</v>
      </c>
      <c r="G20" s="1188" t="s">
        <v>507</v>
      </c>
      <c r="H20" s="1189">
        <v>90</v>
      </c>
      <c r="I20" s="596">
        <f t="shared" si="5"/>
        <v>529.43000000000006</v>
      </c>
      <c r="J20" s="594"/>
      <c r="K20" s="118"/>
      <c r="L20" s="670">
        <f t="shared" si="6"/>
        <v>0</v>
      </c>
      <c r="M20" s="624">
        <v>3</v>
      </c>
      <c r="N20" s="565">
        <v>37.19</v>
      </c>
      <c r="O20" s="592">
        <v>45136</v>
      </c>
      <c r="P20" s="565">
        <f t="shared" si="2"/>
        <v>37.19</v>
      </c>
      <c r="Q20" s="563" t="s">
        <v>727</v>
      </c>
      <c r="R20" s="564">
        <v>90</v>
      </c>
      <c r="S20" s="596">
        <f t="shared" si="7"/>
        <v>-2.1316282072803006E-13</v>
      </c>
      <c r="T20" s="594"/>
    </row>
    <row r="21" spans="1:20" x14ac:dyDescent="0.25">
      <c r="A21" s="118"/>
      <c r="B21" s="670">
        <f t="shared" si="3"/>
        <v>35</v>
      </c>
      <c r="C21" s="624">
        <v>10</v>
      </c>
      <c r="D21" s="1187">
        <v>118.09</v>
      </c>
      <c r="E21" s="1333">
        <v>45112</v>
      </c>
      <c r="F21" s="1187">
        <f t="shared" si="4"/>
        <v>118.09</v>
      </c>
      <c r="G21" s="1188" t="s">
        <v>515</v>
      </c>
      <c r="H21" s="1189">
        <v>90</v>
      </c>
      <c r="I21" s="596">
        <f t="shared" si="5"/>
        <v>411.34000000000003</v>
      </c>
      <c r="J21" s="594"/>
      <c r="K21" s="118"/>
      <c r="L21" s="670">
        <f t="shared" si="6"/>
        <v>0</v>
      </c>
      <c r="M21" s="624"/>
      <c r="N21" s="565"/>
      <c r="O21" s="592"/>
      <c r="P21" s="565">
        <f t="shared" si="2"/>
        <v>0</v>
      </c>
      <c r="Q21" s="563"/>
      <c r="R21" s="564"/>
      <c r="S21" s="596">
        <f t="shared" si="7"/>
        <v>-2.1316282072803006E-13</v>
      </c>
    </row>
    <row r="22" spans="1:20" x14ac:dyDescent="0.25">
      <c r="A22" s="118"/>
      <c r="B22" s="670">
        <f t="shared" si="3"/>
        <v>25</v>
      </c>
      <c r="C22" s="624">
        <v>10</v>
      </c>
      <c r="D22" s="1187">
        <v>117.98</v>
      </c>
      <c r="E22" s="1333">
        <v>45113</v>
      </c>
      <c r="F22" s="1187">
        <f t="shared" si="4"/>
        <v>117.98</v>
      </c>
      <c r="G22" s="1188" t="s">
        <v>521</v>
      </c>
      <c r="H22" s="1189">
        <v>90</v>
      </c>
      <c r="I22" s="596">
        <f t="shared" si="5"/>
        <v>293.36</v>
      </c>
      <c r="J22" s="594"/>
      <c r="K22" s="118"/>
      <c r="L22" s="670">
        <f t="shared" si="6"/>
        <v>0</v>
      </c>
      <c r="M22" s="624"/>
      <c r="N22" s="565"/>
      <c r="O22" s="592"/>
      <c r="P22" s="1518">
        <f t="shared" si="2"/>
        <v>0</v>
      </c>
      <c r="Q22" s="1519"/>
      <c r="R22" s="1520"/>
      <c r="S22" s="1494">
        <f t="shared" si="7"/>
        <v>-2.1316282072803006E-13</v>
      </c>
    </row>
    <row r="23" spans="1:20" x14ac:dyDescent="0.25">
      <c r="A23" s="118"/>
      <c r="B23" s="670">
        <f t="shared" si="3"/>
        <v>20</v>
      </c>
      <c r="C23" s="624">
        <v>5</v>
      </c>
      <c r="D23" s="1187">
        <v>58.2</v>
      </c>
      <c r="E23" s="1333">
        <v>45117</v>
      </c>
      <c r="F23" s="1187">
        <f t="shared" si="4"/>
        <v>58.2</v>
      </c>
      <c r="G23" s="1188" t="s">
        <v>551</v>
      </c>
      <c r="H23" s="1189">
        <v>90</v>
      </c>
      <c r="I23" s="596">
        <f t="shared" si="5"/>
        <v>235.16000000000003</v>
      </c>
      <c r="J23" s="594"/>
      <c r="K23" s="118"/>
      <c r="L23" s="670">
        <f t="shared" si="6"/>
        <v>0</v>
      </c>
      <c r="M23" s="624"/>
      <c r="N23" s="565"/>
      <c r="O23" s="592"/>
      <c r="P23" s="1518">
        <f t="shared" si="2"/>
        <v>0</v>
      </c>
      <c r="Q23" s="1519"/>
      <c r="R23" s="1520"/>
      <c r="S23" s="1494">
        <f t="shared" si="7"/>
        <v>-2.1316282072803006E-13</v>
      </c>
    </row>
    <row r="24" spans="1:20" x14ac:dyDescent="0.25">
      <c r="A24" s="119"/>
      <c r="B24" s="670">
        <f t="shared" si="3"/>
        <v>10</v>
      </c>
      <c r="C24" s="624">
        <v>10</v>
      </c>
      <c r="D24" s="1187">
        <v>116.47</v>
      </c>
      <c r="E24" s="1333">
        <v>45117</v>
      </c>
      <c r="F24" s="1187">
        <f t="shared" si="4"/>
        <v>116.47</v>
      </c>
      <c r="G24" s="1188" t="s">
        <v>552</v>
      </c>
      <c r="H24" s="1189">
        <v>90</v>
      </c>
      <c r="I24" s="596">
        <f t="shared" si="5"/>
        <v>118.69000000000003</v>
      </c>
      <c r="J24" s="594"/>
      <c r="K24" s="119"/>
      <c r="L24" s="670">
        <f t="shared" si="6"/>
        <v>0</v>
      </c>
      <c r="M24" s="624"/>
      <c r="N24" s="565"/>
      <c r="O24" s="592"/>
      <c r="P24" s="1518">
        <f t="shared" si="2"/>
        <v>0</v>
      </c>
      <c r="Q24" s="1519"/>
      <c r="R24" s="1520"/>
      <c r="S24" s="1494">
        <f t="shared" si="7"/>
        <v>-2.1316282072803006E-13</v>
      </c>
    </row>
    <row r="25" spans="1:20" x14ac:dyDescent="0.25">
      <c r="A25" s="118"/>
      <c r="B25" s="670">
        <f t="shared" si="3"/>
        <v>5</v>
      </c>
      <c r="C25" s="624">
        <v>5</v>
      </c>
      <c r="D25" s="1187">
        <v>59.26</v>
      </c>
      <c r="E25" s="1333">
        <v>45118</v>
      </c>
      <c r="F25" s="1187">
        <f t="shared" si="4"/>
        <v>59.26</v>
      </c>
      <c r="G25" s="1188" t="s">
        <v>566</v>
      </c>
      <c r="H25" s="1189">
        <v>90</v>
      </c>
      <c r="I25" s="596">
        <f t="shared" si="5"/>
        <v>59.430000000000028</v>
      </c>
      <c r="J25" s="594"/>
      <c r="K25" s="118"/>
      <c r="L25" s="670">
        <f t="shared" si="6"/>
        <v>0</v>
      </c>
      <c r="M25" s="624"/>
      <c r="N25" s="565"/>
      <c r="O25" s="592"/>
      <c r="P25" s="1518">
        <f t="shared" si="2"/>
        <v>0</v>
      </c>
      <c r="Q25" s="1519"/>
      <c r="R25" s="1520"/>
      <c r="S25" s="1494">
        <f t="shared" si="7"/>
        <v>-2.1316282072803006E-13</v>
      </c>
    </row>
    <row r="26" spans="1:20" x14ac:dyDescent="0.25">
      <c r="A26" s="118"/>
      <c r="B26" s="670">
        <f t="shared" si="3"/>
        <v>5</v>
      </c>
      <c r="C26" s="624"/>
      <c r="D26" s="1187"/>
      <c r="E26" s="1333"/>
      <c r="F26" s="1187">
        <f t="shared" si="4"/>
        <v>0</v>
      </c>
      <c r="G26" s="1188"/>
      <c r="H26" s="1189"/>
      <c r="I26" s="596">
        <f t="shared" si="5"/>
        <v>59.430000000000028</v>
      </c>
      <c r="J26" s="594"/>
      <c r="K26" s="118"/>
      <c r="L26" s="670">
        <f t="shared" si="6"/>
        <v>0</v>
      </c>
      <c r="M26" s="624"/>
      <c r="N26" s="565"/>
      <c r="O26" s="592"/>
      <c r="P26" s="1518">
        <f t="shared" si="2"/>
        <v>0</v>
      </c>
      <c r="Q26" s="1519"/>
      <c r="R26" s="1520"/>
      <c r="S26" s="1494">
        <f t="shared" si="7"/>
        <v>-2.1316282072803006E-13</v>
      </c>
    </row>
    <row r="27" spans="1:20" x14ac:dyDescent="0.25">
      <c r="A27" s="118"/>
      <c r="B27" s="670">
        <f t="shared" si="3"/>
        <v>4</v>
      </c>
      <c r="C27" s="624">
        <v>1</v>
      </c>
      <c r="D27" s="1187">
        <v>11.51</v>
      </c>
      <c r="E27" s="1333">
        <v>45118</v>
      </c>
      <c r="F27" s="1187">
        <f t="shared" si="4"/>
        <v>11.51</v>
      </c>
      <c r="G27" s="1188" t="s">
        <v>571</v>
      </c>
      <c r="H27" s="1189">
        <v>90</v>
      </c>
      <c r="I27" s="596">
        <f t="shared" si="5"/>
        <v>47.92000000000003</v>
      </c>
      <c r="J27" s="594"/>
      <c r="K27" s="118"/>
      <c r="L27" s="670">
        <f t="shared" si="6"/>
        <v>0</v>
      </c>
      <c r="M27" s="624"/>
      <c r="N27" s="565"/>
      <c r="O27" s="592"/>
      <c r="P27" s="1518">
        <f t="shared" si="2"/>
        <v>0</v>
      </c>
      <c r="Q27" s="1519"/>
      <c r="R27" s="1520"/>
      <c r="S27" s="1494">
        <f t="shared" si="7"/>
        <v>-2.1316282072803006E-13</v>
      </c>
    </row>
    <row r="28" spans="1:20" x14ac:dyDescent="0.25">
      <c r="A28" s="118"/>
      <c r="B28" s="670">
        <f t="shared" si="3"/>
        <v>3</v>
      </c>
      <c r="C28" s="624">
        <v>1</v>
      </c>
      <c r="D28" s="1187">
        <v>12.31</v>
      </c>
      <c r="E28" s="1333">
        <v>45119</v>
      </c>
      <c r="F28" s="1187">
        <f t="shared" si="4"/>
        <v>12.31</v>
      </c>
      <c r="G28" s="1188" t="s">
        <v>579</v>
      </c>
      <c r="H28" s="1189">
        <v>90</v>
      </c>
      <c r="I28" s="596">
        <f t="shared" si="5"/>
        <v>35.610000000000028</v>
      </c>
      <c r="J28" s="594"/>
      <c r="K28" s="118"/>
      <c r="L28" s="670">
        <f t="shared" si="6"/>
        <v>0</v>
      </c>
      <c r="M28" s="624"/>
      <c r="N28" s="1340"/>
      <c r="O28" s="1341"/>
      <c r="P28" s="1340">
        <f t="shared" si="2"/>
        <v>0</v>
      </c>
      <c r="Q28" s="1342"/>
      <c r="R28" s="1343"/>
      <c r="S28" s="596">
        <f t="shared" si="7"/>
        <v>-2.1316282072803006E-13</v>
      </c>
    </row>
    <row r="29" spans="1:20" x14ac:dyDescent="0.25">
      <c r="A29" s="118"/>
      <c r="B29" s="670">
        <f t="shared" si="3"/>
        <v>2</v>
      </c>
      <c r="C29" s="15">
        <v>1</v>
      </c>
      <c r="D29" s="1187">
        <v>11.56</v>
      </c>
      <c r="E29" s="1333">
        <v>45119</v>
      </c>
      <c r="F29" s="1187">
        <f t="shared" si="4"/>
        <v>11.56</v>
      </c>
      <c r="G29" s="1188" t="s">
        <v>579</v>
      </c>
      <c r="H29" s="1189">
        <v>90</v>
      </c>
      <c r="I29" s="596">
        <f t="shared" si="5"/>
        <v>24.050000000000026</v>
      </c>
      <c r="K29" s="118"/>
      <c r="L29" s="670">
        <f t="shared" si="6"/>
        <v>0</v>
      </c>
      <c r="M29" s="15"/>
      <c r="N29" s="1340"/>
      <c r="O29" s="1341"/>
      <c r="P29" s="1340">
        <f t="shared" si="2"/>
        <v>0</v>
      </c>
      <c r="Q29" s="1342"/>
      <c r="R29" s="1343"/>
      <c r="S29" s="596">
        <f t="shared" si="7"/>
        <v>-2.1316282072803006E-13</v>
      </c>
    </row>
    <row r="30" spans="1:20" x14ac:dyDescent="0.25">
      <c r="A30" s="118"/>
      <c r="B30" s="670">
        <f t="shared" si="3"/>
        <v>2</v>
      </c>
      <c r="C30" s="15"/>
      <c r="D30" s="1193">
        <v>0</v>
      </c>
      <c r="E30" s="1334"/>
      <c r="F30" s="1193">
        <f t="shared" si="4"/>
        <v>0</v>
      </c>
      <c r="G30" s="1188"/>
      <c r="H30" s="1195"/>
      <c r="I30" s="596">
        <f t="shared" si="5"/>
        <v>24.050000000000026</v>
      </c>
      <c r="K30" s="118"/>
      <c r="L30" s="670">
        <f t="shared" si="6"/>
        <v>0</v>
      </c>
      <c r="M30" s="15"/>
      <c r="N30" s="1344"/>
      <c r="O30" s="1345"/>
      <c r="P30" s="1344">
        <f t="shared" si="2"/>
        <v>0</v>
      </c>
      <c r="Q30" s="1342"/>
      <c r="R30" s="1346"/>
      <c r="S30" s="596">
        <f t="shared" si="7"/>
        <v>-2.1316282072803006E-13</v>
      </c>
    </row>
    <row r="31" spans="1:20" x14ac:dyDescent="0.25">
      <c r="A31" s="118"/>
      <c r="B31" s="670">
        <f t="shared" si="3"/>
        <v>2</v>
      </c>
      <c r="C31" s="15"/>
      <c r="D31" s="1193"/>
      <c r="E31" s="1334"/>
      <c r="F31" s="1193">
        <f t="shared" si="4"/>
        <v>0</v>
      </c>
      <c r="G31" s="1188"/>
      <c r="H31" s="1195"/>
      <c r="I31" s="596">
        <f t="shared" si="5"/>
        <v>24.050000000000026</v>
      </c>
      <c r="K31" s="118"/>
      <c r="L31" s="670">
        <f t="shared" si="6"/>
        <v>0</v>
      </c>
      <c r="M31" s="15"/>
      <c r="N31" s="1344"/>
      <c r="O31" s="1345"/>
      <c r="P31" s="1344">
        <f t="shared" si="2"/>
        <v>0</v>
      </c>
      <c r="Q31" s="1342"/>
      <c r="R31" s="1346"/>
      <c r="S31" s="596">
        <f t="shared" si="7"/>
        <v>-2.1316282072803006E-13</v>
      </c>
    </row>
    <row r="32" spans="1:20" x14ac:dyDescent="0.25">
      <c r="A32" s="118"/>
      <c r="B32" s="670">
        <f t="shared" si="3"/>
        <v>0</v>
      </c>
      <c r="C32" s="15">
        <v>2</v>
      </c>
      <c r="D32" s="1193"/>
      <c r="E32" s="1334"/>
      <c r="F32" s="1510">
        <v>24.05</v>
      </c>
      <c r="G32" s="1511"/>
      <c r="H32" s="1512"/>
      <c r="I32" s="1494">
        <f t="shared" si="5"/>
        <v>0</v>
      </c>
      <c r="K32" s="118"/>
      <c r="L32" s="670">
        <f t="shared" si="6"/>
        <v>0</v>
      </c>
      <c r="M32" s="15"/>
      <c r="N32" s="1344"/>
      <c r="O32" s="1345"/>
      <c r="P32" s="1344">
        <f t="shared" si="2"/>
        <v>0</v>
      </c>
      <c r="Q32" s="1342"/>
      <c r="R32" s="1346"/>
      <c r="S32" s="596">
        <f t="shared" si="7"/>
        <v>-2.1316282072803006E-13</v>
      </c>
    </row>
    <row r="33" spans="1:19" x14ac:dyDescent="0.25">
      <c r="A33" s="118"/>
      <c r="B33" s="670">
        <f t="shared" si="3"/>
        <v>0</v>
      </c>
      <c r="C33" s="15"/>
      <c r="D33" s="1193"/>
      <c r="E33" s="1334"/>
      <c r="F33" s="1510">
        <f t="shared" si="4"/>
        <v>0</v>
      </c>
      <c r="G33" s="1511"/>
      <c r="H33" s="1512"/>
      <c r="I33" s="1494">
        <f t="shared" si="5"/>
        <v>0</v>
      </c>
      <c r="K33" s="118"/>
      <c r="L33" s="670">
        <f t="shared" si="6"/>
        <v>0</v>
      </c>
      <c r="M33" s="15"/>
      <c r="N33" s="1344"/>
      <c r="O33" s="1345"/>
      <c r="P33" s="1344">
        <f t="shared" si="2"/>
        <v>0</v>
      </c>
      <c r="Q33" s="1342"/>
      <c r="R33" s="1346"/>
      <c r="S33" s="596">
        <f t="shared" si="7"/>
        <v>-2.1316282072803006E-13</v>
      </c>
    </row>
    <row r="34" spans="1:19" x14ac:dyDescent="0.25">
      <c r="A34" s="118"/>
      <c r="B34" s="670">
        <f t="shared" si="3"/>
        <v>0</v>
      </c>
      <c r="C34" s="15"/>
      <c r="D34" s="1193"/>
      <c r="E34" s="1334"/>
      <c r="F34" s="1510">
        <f t="shared" si="4"/>
        <v>0</v>
      </c>
      <c r="G34" s="1511"/>
      <c r="H34" s="1512"/>
      <c r="I34" s="1494">
        <f t="shared" si="5"/>
        <v>0</v>
      </c>
      <c r="K34" s="118"/>
      <c r="L34" s="670">
        <f t="shared" si="6"/>
        <v>0</v>
      </c>
      <c r="M34" s="15"/>
      <c r="N34" s="1344"/>
      <c r="O34" s="1345"/>
      <c r="P34" s="1344">
        <f t="shared" si="2"/>
        <v>0</v>
      </c>
      <c r="Q34" s="1342"/>
      <c r="R34" s="1346"/>
      <c r="S34" s="596">
        <f t="shared" si="7"/>
        <v>-2.1316282072803006E-13</v>
      </c>
    </row>
    <row r="35" spans="1:19" x14ac:dyDescent="0.25">
      <c r="A35" s="118"/>
      <c r="B35" s="670">
        <f t="shared" si="3"/>
        <v>0</v>
      </c>
      <c r="C35" s="15"/>
      <c r="D35" s="1193"/>
      <c r="E35" s="1334"/>
      <c r="F35" s="1510">
        <f t="shared" si="4"/>
        <v>0</v>
      </c>
      <c r="G35" s="1511"/>
      <c r="H35" s="1512"/>
      <c r="I35" s="1494">
        <f t="shared" si="5"/>
        <v>0</v>
      </c>
      <c r="K35" s="118"/>
      <c r="L35" s="670">
        <f t="shared" si="6"/>
        <v>0</v>
      </c>
      <c r="M35" s="15"/>
      <c r="N35" s="1344"/>
      <c r="O35" s="1345"/>
      <c r="P35" s="1344">
        <f t="shared" si="2"/>
        <v>0</v>
      </c>
      <c r="Q35" s="1342"/>
      <c r="R35" s="1346"/>
      <c r="S35" s="596">
        <f t="shared" si="7"/>
        <v>-2.1316282072803006E-13</v>
      </c>
    </row>
    <row r="36" spans="1:19" x14ac:dyDescent="0.25">
      <c r="A36" s="118"/>
      <c r="B36" s="670">
        <f t="shared" si="3"/>
        <v>0</v>
      </c>
      <c r="C36" s="15"/>
      <c r="D36" s="1193"/>
      <c r="E36" s="1334"/>
      <c r="F36" s="1510">
        <f t="shared" si="4"/>
        <v>0</v>
      </c>
      <c r="G36" s="1511"/>
      <c r="H36" s="1512"/>
      <c r="I36" s="1494">
        <f t="shared" si="5"/>
        <v>0</v>
      </c>
      <c r="K36" s="118"/>
      <c r="L36" s="670">
        <f t="shared" si="6"/>
        <v>0</v>
      </c>
      <c r="M36" s="15"/>
      <c r="N36" s="1344"/>
      <c r="O36" s="1345"/>
      <c r="P36" s="1344">
        <f t="shared" si="2"/>
        <v>0</v>
      </c>
      <c r="Q36" s="1342"/>
      <c r="R36" s="1346"/>
      <c r="S36" s="102">
        <f t="shared" si="7"/>
        <v>-2.1316282072803006E-13</v>
      </c>
    </row>
    <row r="37" spans="1:19" x14ac:dyDescent="0.25">
      <c r="A37" s="118" t="s">
        <v>22</v>
      </c>
      <c r="B37" s="670">
        <f t="shared" si="3"/>
        <v>0</v>
      </c>
      <c r="C37" s="15"/>
      <c r="D37" s="1193"/>
      <c r="E37" s="1334"/>
      <c r="F37" s="1193">
        <f t="shared" si="4"/>
        <v>0</v>
      </c>
      <c r="G37" s="1188"/>
      <c r="H37" s="1195"/>
      <c r="I37" s="102">
        <f t="shared" si="5"/>
        <v>0</v>
      </c>
      <c r="K37" s="118" t="s">
        <v>22</v>
      </c>
      <c r="L37" s="670">
        <f t="shared" si="6"/>
        <v>0</v>
      </c>
      <c r="M37" s="15"/>
      <c r="N37" s="1344"/>
      <c r="O37" s="1345"/>
      <c r="P37" s="1344">
        <f t="shared" si="2"/>
        <v>0</v>
      </c>
      <c r="Q37" s="1342"/>
      <c r="R37" s="1346"/>
      <c r="S37" s="102">
        <f t="shared" si="7"/>
        <v>-2.1316282072803006E-13</v>
      </c>
    </row>
    <row r="38" spans="1:19" x14ac:dyDescent="0.25">
      <c r="A38" s="119"/>
      <c r="B38" s="670">
        <f t="shared" si="3"/>
        <v>0</v>
      </c>
      <c r="C38" s="15"/>
      <c r="D38" s="1193"/>
      <c r="E38" s="1334"/>
      <c r="F38" s="1193">
        <f t="shared" si="4"/>
        <v>0</v>
      </c>
      <c r="G38" s="1188"/>
      <c r="H38" s="1195"/>
      <c r="I38" s="102">
        <f t="shared" si="5"/>
        <v>0</v>
      </c>
      <c r="K38" s="119"/>
      <c r="L38" s="670">
        <f t="shared" si="6"/>
        <v>0</v>
      </c>
      <c r="M38" s="15"/>
      <c r="N38" s="1344"/>
      <c r="O38" s="1345"/>
      <c r="P38" s="1344">
        <f t="shared" si="2"/>
        <v>0</v>
      </c>
      <c r="Q38" s="1342"/>
      <c r="R38" s="1346"/>
      <c r="S38" s="102">
        <f t="shared" si="7"/>
        <v>-2.1316282072803006E-13</v>
      </c>
    </row>
    <row r="39" spans="1:19" x14ac:dyDescent="0.25">
      <c r="A39" s="118"/>
      <c r="B39" s="670">
        <f t="shared" si="3"/>
        <v>0</v>
      </c>
      <c r="C39" s="15"/>
      <c r="D39" s="1193"/>
      <c r="E39" s="1334"/>
      <c r="F39" s="1193">
        <f t="shared" si="4"/>
        <v>0</v>
      </c>
      <c r="G39" s="1188"/>
      <c r="H39" s="1195"/>
      <c r="I39" s="102">
        <f t="shared" si="5"/>
        <v>0</v>
      </c>
      <c r="K39" s="118"/>
      <c r="L39" s="670">
        <f t="shared" si="6"/>
        <v>0</v>
      </c>
      <c r="M39" s="15"/>
      <c r="N39" s="1344"/>
      <c r="O39" s="1345"/>
      <c r="P39" s="1344">
        <f t="shared" si="2"/>
        <v>0</v>
      </c>
      <c r="Q39" s="1342"/>
      <c r="R39" s="1346"/>
      <c r="S39" s="102">
        <f t="shared" si="7"/>
        <v>-2.1316282072803006E-13</v>
      </c>
    </row>
    <row r="40" spans="1:19" x14ac:dyDescent="0.25">
      <c r="A40" s="118"/>
      <c r="B40" s="670">
        <f t="shared" si="3"/>
        <v>0</v>
      </c>
      <c r="C40" s="15"/>
      <c r="D40" s="1193"/>
      <c r="E40" s="1334"/>
      <c r="F40" s="1193">
        <f t="shared" si="4"/>
        <v>0</v>
      </c>
      <c r="G40" s="1188"/>
      <c r="H40" s="1195"/>
      <c r="I40" s="102">
        <f t="shared" si="5"/>
        <v>0</v>
      </c>
      <c r="K40" s="118"/>
      <c r="L40" s="670">
        <f t="shared" si="6"/>
        <v>0</v>
      </c>
      <c r="M40" s="15"/>
      <c r="N40" s="1344"/>
      <c r="O40" s="1345"/>
      <c r="P40" s="1344">
        <f t="shared" si="2"/>
        <v>0</v>
      </c>
      <c r="Q40" s="1342"/>
      <c r="R40" s="1346"/>
      <c r="S40" s="102">
        <f t="shared" si="7"/>
        <v>-2.1316282072803006E-13</v>
      </c>
    </row>
    <row r="41" spans="1:19" x14ac:dyDescent="0.25">
      <c r="A41" s="118"/>
      <c r="B41" s="670">
        <f t="shared" si="3"/>
        <v>0</v>
      </c>
      <c r="C41" s="15"/>
      <c r="D41" s="1193"/>
      <c r="E41" s="1334"/>
      <c r="F41" s="1193">
        <f t="shared" si="4"/>
        <v>0</v>
      </c>
      <c r="G41" s="1188"/>
      <c r="H41" s="1195"/>
      <c r="I41" s="102">
        <f t="shared" si="5"/>
        <v>0</v>
      </c>
      <c r="K41" s="118"/>
      <c r="L41" s="670">
        <f t="shared" si="6"/>
        <v>0</v>
      </c>
      <c r="M41" s="15"/>
      <c r="N41" s="1344"/>
      <c r="O41" s="1345"/>
      <c r="P41" s="1344">
        <f t="shared" si="2"/>
        <v>0</v>
      </c>
      <c r="Q41" s="1342"/>
      <c r="R41" s="1346"/>
      <c r="S41" s="102">
        <f t="shared" si="7"/>
        <v>-2.1316282072803006E-13</v>
      </c>
    </row>
    <row r="42" spans="1:19" x14ac:dyDescent="0.25">
      <c r="A42" s="118"/>
      <c r="B42" s="670">
        <f t="shared" si="3"/>
        <v>0</v>
      </c>
      <c r="C42" s="15"/>
      <c r="D42" s="1193"/>
      <c r="E42" s="1334"/>
      <c r="F42" s="1193">
        <f t="shared" si="4"/>
        <v>0</v>
      </c>
      <c r="G42" s="1188"/>
      <c r="H42" s="1195"/>
      <c r="I42" s="102">
        <f t="shared" si="5"/>
        <v>0</v>
      </c>
      <c r="K42" s="118"/>
      <c r="L42" s="670">
        <f t="shared" si="6"/>
        <v>0</v>
      </c>
      <c r="M42" s="15"/>
      <c r="N42" s="1344"/>
      <c r="O42" s="1345"/>
      <c r="P42" s="1344">
        <f t="shared" si="2"/>
        <v>0</v>
      </c>
      <c r="Q42" s="1342"/>
      <c r="R42" s="1346"/>
      <c r="S42" s="102">
        <f t="shared" si="7"/>
        <v>-2.1316282072803006E-13</v>
      </c>
    </row>
    <row r="43" spans="1:19" x14ac:dyDescent="0.25">
      <c r="A43" s="118"/>
      <c r="B43" s="670">
        <f t="shared" si="3"/>
        <v>0</v>
      </c>
      <c r="C43" s="15"/>
      <c r="D43" s="1193"/>
      <c r="E43" s="1334"/>
      <c r="F43" s="1193">
        <f t="shared" si="4"/>
        <v>0</v>
      </c>
      <c r="G43" s="1188"/>
      <c r="H43" s="1195"/>
      <c r="I43" s="102">
        <f t="shared" si="5"/>
        <v>0</v>
      </c>
      <c r="K43" s="118"/>
      <c r="L43" s="670">
        <f t="shared" si="6"/>
        <v>0</v>
      </c>
      <c r="M43" s="15"/>
      <c r="N43" s="1344"/>
      <c r="O43" s="1345"/>
      <c r="P43" s="1344">
        <f t="shared" si="2"/>
        <v>0</v>
      </c>
      <c r="Q43" s="1342"/>
      <c r="R43" s="1346"/>
      <c r="S43" s="102">
        <f t="shared" si="7"/>
        <v>-2.1316282072803006E-13</v>
      </c>
    </row>
    <row r="44" spans="1:19" x14ac:dyDescent="0.25">
      <c r="A44" s="118"/>
      <c r="B44" s="670">
        <f t="shared" si="3"/>
        <v>0</v>
      </c>
      <c r="C44" s="15"/>
      <c r="D44" s="1193"/>
      <c r="E44" s="1334"/>
      <c r="F44" s="1193">
        <f t="shared" si="4"/>
        <v>0</v>
      </c>
      <c r="G44" s="1194"/>
      <c r="H44" s="1195"/>
      <c r="I44" s="102">
        <f t="shared" si="5"/>
        <v>0</v>
      </c>
      <c r="K44" s="118"/>
      <c r="L44" s="670">
        <f t="shared" si="6"/>
        <v>0</v>
      </c>
      <c r="M44" s="15"/>
      <c r="N44" s="1344"/>
      <c r="O44" s="1345"/>
      <c r="P44" s="1344">
        <f t="shared" si="2"/>
        <v>0</v>
      </c>
      <c r="Q44" s="1347"/>
      <c r="R44" s="1346"/>
      <c r="S44" s="102">
        <f t="shared" si="7"/>
        <v>-2.1316282072803006E-13</v>
      </c>
    </row>
    <row r="45" spans="1:19" x14ac:dyDescent="0.25">
      <c r="A45" s="118"/>
      <c r="B45" s="670">
        <f t="shared" si="3"/>
        <v>0</v>
      </c>
      <c r="C45" s="15"/>
      <c r="D45" s="1193"/>
      <c r="E45" s="1334"/>
      <c r="F45" s="1193">
        <f t="shared" si="4"/>
        <v>0</v>
      </c>
      <c r="G45" s="1194"/>
      <c r="H45" s="1195"/>
      <c r="I45" s="102">
        <f t="shared" si="5"/>
        <v>0</v>
      </c>
      <c r="K45" s="118"/>
      <c r="L45" s="670">
        <f t="shared" si="6"/>
        <v>0</v>
      </c>
      <c r="M45" s="15"/>
      <c r="N45" s="1344"/>
      <c r="O45" s="1345"/>
      <c r="P45" s="1344">
        <f t="shared" si="2"/>
        <v>0</v>
      </c>
      <c r="Q45" s="1347"/>
      <c r="R45" s="1346"/>
      <c r="S45" s="102">
        <f t="shared" si="7"/>
        <v>-2.1316282072803006E-13</v>
      </c>
    </row>
    <row r="46" spans="1:19" x14ac:dyDescent="0.25">
      <c r="A46" s="118"/>
      <c r="B46" s="670">
        <f t="shared" si="3"/>
        <v>0</v>
      </c>
      <c r="C46" s="15"/>
      <c r="D46" s="1193"/>
      <c r="E46" s="1334"/>
      <c r="F46" s="1193">
        <f t="shared" si="4"/>
        <v>0</v>
      </c>
      <c r="G46" s="1194"/>
      <c r="H46" s="1195"/>
      <c r="I46" s="102">
        <f t="shared" si="5"/>
        <v>0</v>
      </c>
      <c r="K46" s="118"/>
      <c r="L46" s="670">
        <f t="shared" si="6"/>
        <v>0</v>
      </c>
      <c r="M46" s="15"/>
      <c r="N46" s="1344"/>
      <c r="O46" s="1345"/>
      <c r="P46" s="1344">
        <f t="shared" si="2"/>
        <v>0</v>
      </c>
      <c r="Q46" s="1347"/>
      <c r="R46" s="1346"/>
      <c r="S46" s="102">
        <f t="shared" si="7"/>
        <v>-2.1316282072803006E-13</v>
      </c>
    </row>
    <row r="47" spans="1:19" x14ac:dyDescent="0.25">
      <c r="A47" s="118"/>
      <c r="B47" s="670">
        <f t="shared" si="3"/>
        <v>0</v>
      </c>
      <c r="C47" s="15"/>
      <c r="D47" s="1193"/>
      <c r="E47" s="1334"/>
      <c r="F47" s="1193">
        <f t="shared" si="4"/>
        <v>0</v>
      </c>
      <c r="G47" s="1194"/>
      <c r="H47" s="1195"/>
      <c r="I47" s="102">
        <f t="shared" si="5"/>
        <v>0</v>
      </c>
      <c r="K47" s="118"/>
      <c r="L47" s="670">
        <f t="shared" si="6"/>
        <v>0</v>
      </c>
      <c r="M47" s="15"/>
      <c r="N47" s="1344"/>
      <c r="O47" s="1345"/>
      <c r="P47" s="1344">
        <f t="shared" si="2"/>
        <v>0</v>
      </c>
      <c r="Q47" s="1347"/>
      <c r="R47" s="1346"/>
      <c r="S47" s="102">
        <f t="shared" si="7"/>
        <v>-2.1316282072803006E-13</v>
      </c>
    </row>
    <row r="48" spans="1:19" x14ac:dyDescent="0.25">
      <c r="A48" s="118"/>
      <c r="B48" s="670">
        <f t="shared" si="3"/>
        <v>0</v>
      </c>
      <c r="C48" s="15"/>
      <c r="D48" s="1193"/>
      <c r="E48" s="1334"/>
      <c r="F48" s="1193">
        <f t="shared" si="4"/>
        <v>0</v>
      </c>
      <c r="G48" s="1194"/>
      <c r="H48" s="1195"/>
      <c r="I48" s="102">
        <f t="shared" si="5"/>
        <v>0</v>
      </c>
      <c r="K48" s="118"/>
      <c r="L48" s="670">
        <f t="shared" si="6"/>
        <v>0</v>
      </c>
      <c r="M48" s="15"/>
      <c r="N48" s="1344"/>
      <c r="O48" s="1345"/>
      <c r="P48" s="1344">
        <f t="shared" si="2"/>
        <v>0</v>
      </c>
      <c r="Q48" s="1347"/>
      <c r="R48" s="1346"/>
      <c r="S48" s="102">
        <f t="shared" si="7"/>
        <v>-2.1316282072803006E-13</v>
      </c>
    </row>
    <row r="49" spans="1:19" x14ac:dyDescent="0.25">
      <c r="A49" s="118"/>
      <c r="B49" s="670">
        <f t="shared" si="3"/>
        <v>0</v>
      </c>
      <c r="C49" s="15"/>
      <c r="D49" s="1193"/>
      <c r="E49" s="1334"/>
      <c r="F49" s="1193">
        <f t="shared" si="4"/>
        <v>0</v>
      </c>
      <c r="G49" s="1194"/>
      <c r="H49" s="1195"/>
      <c r="I49" s="102">
        <f t="shared" si="5"/>
        <v>0</v>
      </c>
      <c r="K49" s="118"/>
      <c r="L49" s="670">
        <f t="shared" si="6"/>
        <v>0</v>
      </c>
      <c r="M49" s="15"/>
      <c r="N49" s="1344"/>
      <c r="O49" s="1345"/>
      <c r="P49" s="1344">
        <f t="shared" si="2"/>
        <v>0</v>
      </c>
      <c r="Q49" s="1347"/>
      <c r="R49" s="1346"/>
      <c r="S49" s="102">
        <f t="shared" si="7"/>
        <v>-2.1316282072803006E-13</v>
      </c>
    </row>
    <row r="50" spans="1:19" x14ac:dyDescent="0.25">
      <c r="A50" s="118"/>
      <c r="B50" s="670">
        <f t="shared" si="3"/>
        <v>0</v>
      </c>
      <c r="C50" s="15"/>
      <c r="D50" s="68"/>
      <c r="E50" s="191"/>
      <c r="F50" s="68">
        <f t="shared" si="4"/>
        <v>0</v>
      </c>
      <c r="G50" s="69"/>
      <c r="H50" s="70"/>
      <c r="I50" s="102">
        <f t="shared" si="5"/>
        <v>0</v>
      </c>
      <c r="K50" s="118"/>
      <c r="L50" s="670">
        <f t="shared" si="6"/>
        <v>0</v>
      </c>
      <c r="M50" s="15"/>
      <c r="N50" s="1344"/>
      <c r="O50" s="1345"/>
      <c r="P50" s="1344">
        <f t="shared" si="2"/>
        <v>0</v>
      </c>
      <c r="Q50" s="1347"/>
      <c r="R50" s="1346"/>
      <c r="S50" s="102">
        <f t="shared" si="7"/>
        <v>-2.1316282072803006E-13</v>
      </c>
    </row>
    <row r="51" spans="1:19" x14ac:dyDescent="0.25">
      <c r="A51" s="118"/>
      <c r="B51" s="670">
        <f t="shared" si="3"/>
        <v>0</v>
      </c>
      <c r="C51" s="15"/>
      <c r="D51" s="68"/>
      <c r="E51" s="191"/>
      <c r="F51" s="68">
        <f t="shared" si="4"/>
        <v>0</v>
      </c>
      <c r="G51" s="69"/>
      <c r="H51" s="70"/>
      <c r="I51" s="102">
        <f t="shared" si="5"/>
        <v>0</v>
      </c>
      <c r="K51" s="118"/>
      <c r="L51" s="670">
        <f t="shared" si="6"/>
        <v>0</v>
      </c>
      <c r="M51" s="15"/>
      <c r="N51" s="1344"/>
      <c r="O51" s="1345"/>
      <c r="P51" s="1344">
        <f t="shared" si="2"/>
        <v>0</v>
      </c>
      <c r="Q51" s="1347"/>
      <c r="R51" s="1346"/>
      <c r="S51" s="102">
        <f t="shared" si="7"/>
        <v>-2.1316282072803006E-13</v>
      </c>
    </row>
    <row r="52" spans="1:19" x14ac:dyDescent="0.25">
      <c r="A52" s="118"/>
      <c r="B52" s="670">
        <f t="shared" si="3"/>
        <v>0</v>
      </c>
      <c r="C52" s="15"/>
      <c r="D52" s="68"/>
      <c r="E52" s="191"/>
      <c r="F52" s="68">
        <f t="shared" si="4"/>
        <v>0</v>
      </c>
      <c r="G52" s="69"/>
      <c r="H52" s="70"/>
      <c r="I52" s="102">
        <f t="shared" si="5"/>
        <v>0</v>
      </c>
      <c r="K52" s="118"/>
      <c r="L52" s="670">
        <f t="shared" si="6"/>
        <v>0</v>
      </c>
      <c r="M52" s="15"/>
      <c r="N52" s="1344"/>
      <c r="O52" s="1345"/>
      <c r="P52" s="1344">
        <f t="shared" si="2"/>
        <v>0</v>
      </c>
      <c r="Q52" s="1347"/>
      <c r="R52" s="1346"/>
      <c r="S52" s="102">
        <f t="shared" si="7"/>
        <v>-2.1316282072803006E-13</v>
      </c>
    </row>
    <row r="53" spans="1:19" x14ac:dyDescent="0.25">
      <c r="A53" s="118"/>
      <c r="B53" s="670">
        <f t="shared" si="3"/>
        <v>0</v>
      </c>
      <c r="C53" s="15"/>
      <c r="D53" s="68"/>
      <c r="E53" s="191"/>
      <c r="F53" s="68">
        <f t="shared" si="4"/>
        <v>0</v>
      </c>
      <c r="G53" s="69"/>
      <c r="H53" s="70"/>
      <c r="I53" s="102">
        <f t="shared" si="5"/>
        <v>0</v>
      </c>
      <c r="K53" s="118"/>
      <c r="L53" s="670">
        <f t="shared" si="6"/>
        <v>0</v>
      </c>
      <c r="M53" s="15"/>
      <c r="N53" s="1344"/>
      <c r="O53" s="1345"/>
      <c r="P53" s="1344">
        <f t="shared" si="2"/>
        <v>0</v>
      </c>
      <c r="Q53" s="1347"/>
      <c r="R53" s="1346"/>
      <c r="S53" s="102">
        <f t="shared" si="7"/>
        <v>-2.1316282072803006E-13</v>
      </c>
    </row>
    <row r="54" spans="1:19" x14ac:dyDescent="0.25">
      <c r="A54" s="118"/>
      <c r="B54" s="670">
        <f t="shared" si="3"/>
        <v>0</v>
      </c>
      <c r="C54" s="15"/>
      <c r="D54" s="68"/>
      <c r="E54" s="191"/>
      <c r="F54" s="68">
        <f t="shared" si="4"/>
        <v>0</v>
      </c>
      <c r="G54" s="69"/>
      <c r="H54" s="70"/>
      <c r="I54" s="102">
        <f t="shared" si="5"/>
        <v>0</v>
      </c>
      <c r="K54" s="118"/>
      <c r="L54" s="670">
        <f t="shared" si="6"/>
        <v>0</v>
      </c>
      <c r="M54" s="15"/>
      <c r="N54" s="1344"/>
      <c r="O54" s="1345"/>
      <c r="P54" s="1344">
        <f t="shared" si="2"/>
        <v>0</v>
      </c>
      <c r="Q54" s="1347"/>
      <c r="R54" s="1346"/>
      <c r="S54" s="102">
        <f t="shared" si="7"/>
        <v>-2.1316282072803006E-13</v>
      </c>
    </row>
    <row r="55" spans="1:19" x14ac:dyDescent="0.25">
      <c r="A55" s="118"/>
      <c r="B55" s="670">
        <f t="shared" si="3"/>
        <v>0</v>
      </c>
      <c r="C55" s="15"/>
      <c r="D55" s="68"/>
      <c r="E55" s="191"/>
      <c r="F55" s="68">
        <f t="shared" si="4"/>
        <v>0</v>
      </c>
      <c r="G55" s="69"/>
      <c r="H55" s="70"/>
      <c r="I55" s="102">
        <f t="shared" si="5"/>
        <v>0</v>
      </c>
      <c r="K55" s="118"/>
      <c r="L55" s="670">
        <f t="shared" si="6"/>
        <v>0</v>
      </c>
      <c r="M55" s="15"/>
      <c r="N55" s="1344"/>
      <c r="O55" s="1345"/>
      <c r="P55" s="1344">
        <f t="shared" si="2"/>
        <v>0</v>
      </c>
      <c r="Q55" s="1347"/>
      <c r="R55" s="1346"/>
      <c r="S55" s="102">
        <f t="shared" si="7"/>
        <v>-2.1316282072803006E-13</v>
      </c>
    </row>
    <row r="56" spans="1:19" x14ac:dyDescent="0.25">
      <c r="A56" s="118"/>
      <c r="B56" s="670">
        <f t="shared" si="3"/>
        <v>0</v>
      </c>
      <c r="C56" s="15"/>
      <c r="D56" s="68"/>
      <c r="E56" s="191"/>
      <c r="F56" s="68">
        <f t="shared" si="4"/>
        <v>0</v>
      </c>
      <c r="G56" s="69"/>
      <c r="H56" s="70"/>
      <c r="I56" s="102">
        <f t="shared" si="5"/>
        <v>0</v>
      </c>
      <c r="K56" s="118"/>
      <c r="L56" s="670">
        <f t="shared" si="6"/>
        <v>0</v>
      </c>
      <c r="M56" s="15"/>
      <c r="N56" s="1344"/>
      <c r="O56" s="1345"/>
      <c r="P56" s="1344">
        <f t="shared" si="2"/>
        <v>0</v>
      </c>
      <c r="Q56" s="1347"/>
      <c r="R56" s="1346"/>
      <c r="S56" s="102">
        <f t="shared" si="7"/>
        <v>-2.1316282072803006E-13</v>
      </c>
    </row>
    <row r="57" spans="1:19" x14ac:dyDescent="0.25">
      <c r="A57" s="118"/>
      <c r="B57" s="670">
        <f t="shared" si="3"/>
        <v>0</v>
      </c>
      <c r="C57" s="15"/>
      <c r="D57" s="68"/>
      <c r="E57" s="191"/>
      <c r="F57" s="68">
        <f t="shared" si="4"/>
        <v>0</v>
      </c>
      <c r="G57" s="69"/>
      <c r="H57" s="70"/>
      <c r="I57" s="102">
        <f t="shared" si="5"/>
        <v>0</v>
      </c>
      <c r="K57" s="118"/>
      <c r="L57" s="670">
        <f t="shared" si="6"/>
        <v>0</v>
      </c>
      <c r="M57" s="15"/>
      <c r="N57" s="1344"/>
      <c r="O57" s="1345"/>
      <c r="P57" s="1344">
        <f t="shared" si="2"/>
        <v>0</v>
      </c>
      <c r="Q57" s="1347"/>
      <c r="R57" s="1346"/>
      <c r="S57" s="102">
        <f t="shared" si="7"/>
        <v>-2.1316282072803006E-13</v>
      </c>
    </row>
    <row r="58" spans="1:19" x14ac:dyDescent="0.25">
      <c r="A58" s="118"/>
      <c r="B58" s="670">
        <f t="shared" si="3"/>
        <v>0</v>
      </c>
      <c r="C58" s="15"/>
      <c r="D58" s="68"/>
      <c r="E58" s="191"/>
      <c r="F58" s="68">
        <f t="shared" si="4"/>
        <v>0</v>
      </c>
      <c r="G58" s="69"/>
      <c r="H58" s="70"/>
      <c r="I58" s="102">
        <f t="shared" si="5"/>
        <v>0</v>
      </c>
      <c r="K58" s="118"/>
      <c r="L58" s="670">
        <f t="shared" si="6"/>
        <v>0</v>
      </c>
      <c r="M58" s="15"/>
      <c r="N58" s="1344"/>
      <c r="O58" s="1345"/>
      <c r="P58" s="1344">
        <f t="shared" si="2"/>
        <v>0</v>
      </c>
      <c r="Q58" s="1347"/>
      <c r="R58" s="1346"/>
      <c r="S58" s="102">
        <f t="shared" si="7"/>
        <v>-2.1316282072803006E-13</v>
      </c>
    </row>
    <row r="59" spans="1:19" x14ac:dyDescent="0.25">
      <c r="A59" s="118"/>
      <c r="B59" s="670">
        <f t="shared" si="3"/>
        <v>0</v>
      </c>
      <c r="C59" s="15"/>
      <c r="D59" s="68"/>
      <c r="E59" s="191"/>
      <c r="F59" s="68">
        <f t="shared" si="4"/>
        <v>0</v>
      </c>
      <c r="G59" s="69"/>
      <c r="H59" s="70"/>
      <c r="I59" s="102">
        <f t="shared" si="5"/>
        <v>0</v>
      </c>
      <c r="K59" s="118"/>
      <c r="L59" s="670">
        <f t="shared" si="6"/>
        <v>0</v>
      </c>
      <c r="M59" s="15"/>
      <c r="N59" s="1344"/>
      <c r="O59" s="1345"/>
      <c r="P59" s="1344">
        <f t="shared" si="2"/>
        <v>0</v>
      </c>
      <c r="Q59" s="1347"/>
      <c r="R59" s="1346"/>
      <c r="S59" s="102">
        <f t="shared" si="7"/>
        <v>-2.1316282072803006E-13</v>
      </c>
    </row>
    <row r="60" spans="1:19" x14ac:dyDescent="0.25">
      <c r="A60" s="118"/>
      <c r="B60" s="670">
        <f t="shared" si="3"/>
        <v>0</v>
      </c>
      <c r="C60" s="15"/>
      <c r="D60" s="68"/>
      <c r="E60" s="191"/>
      <c r="F60" s="68">
        <f t="shared" si="4"/>
        <v>0</v>
      </c>
      <c r="G60" s="69"/>
      <c r="H60" s="70"/>
      <c r="I60" s="102">
        <f t="shared" si="5"/>
        <v>0</v>
      </c>
      <c r="K60" s="118"/>
      <c r="L60" s="670">
        <f t="shared" si="6"/>
        <v>0</v>
      </c>
      <c r="M60" s="15"/>
      <c r="N60" s="1344"/>
      <c r="O60" s="1345"/>
      <c r="P60" s="1344">
        <f t="shared" si="2"/>
        <v>0</v>
      </c>
      <c r="Q60" s="1347"/>
      <c r="R60" s="1346"/>
      <c r="S60" s="102">
        <f t="shared" si="7"/>
        <v>-2.1316282072803006E-13</v>
      </c>
    </row>
    <row r="61" spans="1:19" x14ac:dyDescent="0.25">
      <c r="A61" s="118"/>
      <c r="B61" s="670">
        <f t="shared" si="3"/>
        <v>0</v>
      </c>
      <c r="C61" s="15"/>
      <c r="D61" s="68"/>
      <c r="E61" s="191"/>
      <c r="F61" s="68">
        <f t="shared" si="4"/>
        <v>0</v>
      </c>
      <c r="G61" s="69"/>
      <c r="H61" s="70"/>
      <c r="I61" s="102">
        <f t="shared" si="5"/>
        <v>0</v>
      </c>
      <c r="K61" s="118"/>
      <c r="L61" s="670">
        <f t="shared" si="6"/>
        <v>0</v>
      </c>
      <c r="M61" s="15"/>
      <c r="N61" s="68"/>
      <c r="O61" s="191"/>
      <c r="P61" s="68">
        <f t="shared" si="2"/>
        <v>0</v>
      </c>
      <c r="Q61" s="69"/>
      <c r="R61" s="70"/>
      <c r="S61" s="102">
        <f t="shared" si="7"/>
        <v>-2.1316282072803006E-13</v>
      </c>
    </row>
    <row r="62" spans="1:19" x14ac:dyDescent="0.25">
      <c r="A62" s="118"/>
      <c r="B62" s="670">
        <f t="shared" si="3"/>
        <v>0</v>
      </c>
      <c r="C62" s="15"/>
      <c r="D62" s="68"/>
      <c r="E62" s="191"/>
      <c r="F62" s="68">
        <f t="shared" si="4"/>
        <v>0</v>
      </c>
      <c r="G62" s="69"/>
      <c r="H62" s="70"/>
      <c r="I62" s="102">
        <f t="shared" si="5"/>
        <v>0</v>
      </c>
      <c r="K62" s="118"/>
      <c r="L62" s="670">
        <f t="shared" si="6"/>
        <v>0</v>
      </c>
      <c r="M62" s="15"/>
      <c r="N62" s="68"/>
      <c r="O62" s="191"/>
      <c r="P62" s="68">
        <f t="shared" si="2"/>
        <v>0</v>
      </c>
      <c r="Q62" s="69"/>
      <c r="R62" s="70"/>
      <c r="S62" s="102">
        <f t="shared" si="7"/>
        <v>-2.1316282072803006E-13</v>
      </c>
    </row>
    <row r="63" spans="1:19" x14ac:dyDescent="0.25">
      <c r="A63" s="118"/>
      <c r="B63" s="670">
        <f t="shared" si="3"/>
        <v>0</v>
      </c>
      <c r="C63" s="15"/>
      <c r="D63" s="68"/>
      <c r="E63" s="191"/>
      <c r="F63" s="68">
        <f t="shared" si="4"/>
        <v>0</v>
      </c>
      <c r="G63" s="69"/>
      <c r="H63" s="70"/>
      <c r="I63" s="102">
        <f t="shared" si="5"/>
        <v>0</v>
      </c>
      <c r="K63" s="118"/>
      <c r="L63" s="670">
        <f t="shared" si="6"/>
        <v>0</v>
      </c>
      <c r="M63" s="15"/>
      <c r="N63" s="68"/>
      <c r="O63" s="191"/>
      <c r="P63" s="68">
        <f t="shared" si="2"/>
        <v>0</v>
      </c>
      <c r="Q63" s="69"/>
      <c r="R63" s="70"/>
      <c r="S63" s="102">
        <f t="shared" si="7"/>
        <v>-2.1316282072803006E-13</v>
      </c>
    </row>
    <row r="64" spans="1:19" x14ac:dyDescent="0.25">
      <c r="A64" s="118"/>
      <c r="B64" s="670">
        <f t="shared" si="3"/>
        <v>0</v>
      </c>
      <c r="C64" s="15"/>
      <c r="D64" s="68"/>
      <c r="E64" s="191"/>
      <c r="F64" s="68">
        <f t="shared" si="4"/>
        <v>0</v>
      </c>
      <c r="G64" s="69"/>
      <c r="H64" s="70"/>
      <c r="I64" s="102">
        <f t="shared" si="5"/>
        <v>0</v>
      </c>
      <c r="K64" s="118"/>
      <c r="L64" s="670">
        <f t="shared" si="6"/>
        <v>0</v>
      </c>
      <c r="M64" s="15"/>
      <c r="N64" s="68"/>
      <c r="O64" s="191"/>
      <c r="P64" s="68">
        <f t="shared" si="2"/>
        <v>0</v>
      </c>
      <c r="Q64" s="69"/>
      <c r="R64" s="70"/>
      <c r="S64" s="102">
        <f t="shared" si="7"/>
        <v>-2.1316282072803006E-13</v>
      </c>
    </row>
    <row r="65" spans="1:19" x14ac:dyDescent="0.25">
      <c r="A65" s="118"/>
      <c r="B65" s="670">
        <f t="shared" si="3"/>
        <v>0</v>
      </c>
      <c r="C65" s="15"/>
      <c r="D65" s="68"/>
      <c r="E65" s="191"/>
      <c r="F65" s="68">
        <f t="shared" si="4"/>
        <v>0</v>
      </c>
      <c r="G65" s="69"/>
      <c r="H65" s="70"/>
      <c r="I65" s="102">
        <f t="shared" si="5"/>
        <v>0</v>
      </c>
      <c r="K65" s="118"/>
      <c r="L65" s="670">
        <f t="shared" si="6"/>
        <v>0</v>
      </c>
      <c r="M65" s="15"/>
      <c r="N65" s="68"/>
      <c r="O65" s="191"/>
      <c r="P65" s="68">
        <f t="shared" si="2"/>
        <v>0</v>
      </c>
      <c r="Q65" s="69"/>
      <c r="R65" s="70"/>
      <c r="S65" s="102">
        <f t="shared" si="7"/>
        <v>-2.1316282072803006E-13</v>
      </c>
    </row>
    <row r="66" spans="1:19" x14ac:dyDescent="0.25">
      <c r="A66" s="118"/>
      <c r="B66" s="670">
        <f t="shared" si="3"/>
        <v>0</v>
      </c>
      <c r="C66" s="15"/>
      <c r="D66" s="68"/>
      <c r="E66" s="191"/>
      <c r="F66" s="68">
        <f t="shared" si="4"/>
        <v>0</v>
      </c>
      <c r="G66" s="69"/>
      <c r="H66" s="70"/>
      <c r="I66" s="102">
        <f t="shared" si="5"/>
        <v>0</v>
      </c>
      <c r="K66" s="118"/>
      <c r="L66" s="670">
        <f t="shared" si="6"/>
        <v>0</v>
      </c>
      <c r="M66" s="15"/>
      <c r="N66" s="68"/>
      <c r="O66" s="191"/>
      <c r="P66" s="68">
        <f t="shared" si="2"/>
        <v>0</v>
      </c>
      <c r="Q66" s="69"/>
      <c r="R66" s="70"/>
      <c r="S66" s="102">
        <f t="shared" si="7"/>
        <v>-2.1316282072803006E-13</v>
      </c>
    </row>
    <row r="67" spans="1:19" x14ac:dyDescent="0.25">
      <c r="A67" s="118"/>
      <c r="B67" s="670">
        <f t="shared" si="3"/>
        <v>0</v>
      </c>
      <c r="C67" s="15"/>
      <c r="D67" s="68"/>
      <c r="E67" s="191"/>
      <c r="F67" s="68">
        <f t="shared" si="4"/>
        <v>0</v>
      </c>
      <c r="G67" s="69"/>
      <c r="H67" s="70"/>
      <c r="I67" s="102">
        <f t="shared" si="5"/>
        <v>0</v>
      </c>
      <c r="K67" s="118"/>
      <c r="L67" s="670">
        <f t="shared" si="6"/>
        <v>0</v>
      </c>
      <c r="M67" s="15"/>
      <c r="N67" s="68"/>
      <c r="O67" s="191"/>
      <c r="P67" s="68">
        <f t="shared" si="2"/>
        <v>0</v>
      </c>
      <c r="Q67" s="69"/>
      <c r="R67" s="70"/>
      <c r="S67" s="102">
        <f t="shared" si="7"/>
        <v>-2.1316282072803006E-13</v>
      </c>
    </row>
    <row r="68" spans="1:19" x14ac:dyDescent="0.25">
      <c r="A68" s="118"/>
      <c r="B68" s="670">
        <f t="shared" si="3"/>
        <v>0</v>
      </c>
      <c r="C68" s="15"/>
      <c r="D68" s="68"/>
      <c r="E68" s="191"/>
      <c r="F68" s="68">
        <f t="shared" si="4"/>
        <v>0</v>
      </c>
      <c r="G68" s="69"/>
      <c r="H68" s="70"/>
      <c r="I68" s="102">
        <f t="shared" si="5"/>
        <v>0</v>
      </c>
      <c r="K68" s="118"/>
      <c r="L68" s="670">
        <f t="shared" si="6"/>
        <v>0</v>
      </c>
      <c r="M68" s="15"/>
      <c r="N68" s="68"/>
      <c r="O68" s="191"/>
      <c r="P68" s="68">
        <f t="shared" si="2"/>
        <v>0</v>
      </c>
      <c r="Q68" s="69"/>
      <c r="R68" s="70"/>
      <c r="S68" s="102">
        <f t="shared" si="7"/>
        <v>-2.1316282072803006E-13</v>
      </c>
    </row>
    <row r="69" spans="1:19" x14ac:dyDescent="0.25">
      <c r="A69" s="118"/>
      <c r="B69" s="670">
        <f t="shared" si="3"/>
        <v>0</v>
      </c>
      <c r="C69" s="15"/>
      <c r="D69" s="68"/>
      <c r="E69" s="191"/>
      <c r="F69" s="68">
        <f t="shared" si="4"/>
        <v>0</v>
      </c>
      <c r="G69" s="69"/>
      <c r="H69" s="70"/>
      <c r="I69" s="102">
        <f t="shared" si="5"/>
        <v>0</v>
      </c>
      <c r="K69" s="118"/>
      <c r="L69" s="670">
        <f t="shared" si="6"/>
        <v>0</v>
      </c>
      <c r="M69" s="15"/>
      <c r="N69" s="68"/>
      <c r="O69" s="191"/>
      <c r="P69" s="68">
        <f t="shared" si="2"/>
        <v>0</v>
      </c>
      <c r="Q69" s="69"/>
      <c r="R69" s="70"/>
      <c r="S69" s="102">
        <f t="shared" si="7"/>
        <v>-2.1316282072803006E-13</v>
      </c>
    </row>
    <row r="70" spans="1:19" x14ac:dyDescent="0.25">
      <c r="A70" s="118"/>
      <c r="B70" s="670">
        <f t="shared" si="3"/>
        <v>0</v>
      </c>
      <c r="C70" s="15"/>
      <c r="D70" s="68"/>
      <c r="E70" s="191"/>
      <c r="F70" s="68">
        <f t="shared" si="4"/>
        <v>0</v>
      </c>
      <c r="G70" s="69"/>
      <c r="H70" s="70"/>
      <c r="I70" s="102">
        <f t="shared" si="5"/>
        <v>0</v>
      </c>
      <c r="K70" s="118"/>
      <c r="L70" s="670">
        <f t="shared" si="6"/>
        <v>0</v>
      </c>
      <c r="M70" s="15"/>
      <c r="N70" s="68"/>
      <c r="O70" s="191"/>
      <c r="P70" s="68">
        <f t="shared" si="2"/>
        <v>0</v>
      </c>
      <c r="Q70" s="69"/>
      <c r="R70" s="70"/>
      <c r="S70" s="102">
        <f t="shared" si="7"/>
        <v>-2.1316282072803006E-13</v>
      </c>
    </row>
    <row r="71" spans="1:19" x14ac:dyDescent="0.25">
      <c r="A71" s="118"/>
      <c r="B71" s="670">
        <f t="shared" si="3"/>
        <v>0</v>
      </c>
      <c r="C71" s="15"/>
      <c r="D71" s="68"/>
      <c r="E71" s="191"/>
      <c r="F71" s="68">
        <f t="shared" si="4"/>
        <v>0</v>
      </c>
      <c r="G71" s="69"/>
      <c r="H71" s="70"/>
      <c r="I71" s="102">
        <f t="shared" si="5"/>
        <v>0</v>
      </c>
      <c r="K71" s="118"/>
      <c r="L71" s="670">
        <f t="shared" si="6"/>
        <v>0</v>
      </c>
      <c r="M71" s="15"/>
      <c r="N71" s="68"/>
      <c r="O71" s="191"/>
      <c r="P71" s="68">
        <f t="shared" si="2"/>
        <v>0</v>
      </c>
      <c r="Q71" s="69"/>
      <c r="R71" s="70"/>
      <c r="S71" s="102">
        <f t="shared" si="7"/>
        <v>-2.1316282072803006E-13</v>
      </c>
    </row>
    <row r="72" spans="1:19" x14ac:dyDescent="0.25">
      <c r="A72" s="118"/>
      <c r="B72" s="670">
        <f t="shared" si="3"/>
        <v>0</v>
      </c>
      <c r="C72" s="15"/>
      <c r="D72" s="68"/>
      <c r="E72" s="191"/>
      <c r="F72" s="68">
        <f t="shared" si="4"/>
        <v>0</v>
      </c>
      <c r="G72" s="69"/>
      <c r="H72" s="70"/>
      <c r="I72" s="102">
        <f t="shared" si="5"/>
        <v>0</v>
      </c>
      <c r="K72" s="118"/>
      <c r="L72" s="670">
        <f t="shared" si="6"/>
        <v>0</v>
      </c>
      <c r="M72" s="15"/>
      <c r="N72" s="68"/>
      <c r="O72" s="191"/>
      <c r="P72" s="68">
        <f t="shared" si="2"/>
        <v>0</v>
      </c>
      <c r="Q72" s="69"/>
      <c r="R72" s="70"/>
      <c r="S72" s="102">
        <f t="shared" si="7"/>
        <v>-2.1316282072803006E-13</v>
      </c>
    </row>
    <row r="73" spans="1:19" x14ac:dyDescent="0.25">
      <c r="A73" s="118"/>
      <c r="B73" s="670">
        <f t="shared" si="3"/>
        <v>0</v>
      </c>
      <c r="C73" s="15"/>
      <c r="D73" s="68"/>
      <c r="E73" s="191"/>
      <c r="F73" s="68">
        <f t="shared" si="4"/>
        <v>0</v>
      </c>
      <c r="G73" s="69"/>
      <c r="H73" s="70"/>
      <c r="I73" s="102">
        <f t="shared" si="5"/>
        <v>0</v>
      </c>
      <c r="K73" s="118"/>
      <c r="L73" s="670">
        <f t="shared" si="6"/>
        <v>0</v>
      </c>
      <c r="M73" s="15"/>
      <c r="N73" s="68"/>
      <c r="O73" s="191"/>
      <c r="P73" s="68">
        <f t="shared" si="2"/>
        <v>0</v>
      </c>
      <c r="Q73" s="69"/>
      <c r="R73" s="70"/>
      <c r="S73" s="102">
        <f t="shared" si="7"/>
        <v>-2.1316282072803006E-13</v>
      </c>
    </row>
    <row r="74" spans="1:19" x14ac:dyDescent="0.25">
      <c r="A74" s="118"/>
      <c r="B74" s="670">
        <f t="shared" si="3"/>
        <v>0</v>
      </c>
      <c r="C74" s="15"/>
      <c r="D74" s="68"/>
      <c r="E74" s="191"/>
      <c r="F74" s="68">
        <f t="shared" ref="F74" si="9">D74</f>
        <v>0</v>
      </c>
      <c r="G74" s="69"/>
      <c r="H74" s="70"/>
      <c r="I74" s="102">
        <f t="shared" si="5"/>
        <v>0</v>
      </c>
      <c r="K74" s="118"/>
      <c r="L74" s="670">
        <f t="shared" si="6"/>
        <v>0</v>
      </c>
      <c r="M74" s="15"/>
      <c r="N74" s="68"/>
      <c r="O74" s="191"/>
      <c r="P74" s="68">
        <f t="shared" ref="P74" si="10">N74</f>
        <v>0</v>
      </c>
      <c r="Q74" s="69"/>
      <c r="R74" s="70"/>
      <c r="S74" s="102">
        <f t="shared" si="7"/>
        <v>-2.1316282072803006E-13</v>
      </c>
    </row>
    <row r="75" spans="1:19" x14ac:dyDescent="0.25">
      <c r="A75" s="118"/>
      <c r="B75" s="670">
        <f t="shared" si="3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si="5"/>
        <v>0</v>
      </c>
      <c r="K75" s="118"/>
      <c r="L75" s="670">
        <f t="shared" si="6"/>
        <v>0</v>
      </c>
      <c r="M75" s="15"/>
      <c r="N75" s="58"/>
      <c r="O75" s="198"/>
      <c r="P75" s="68">
        <f>N75</f>
        <v>0</v>
      </c>
      <c r="Q75" s="69"/>
      <c r="R75" s="70"/>
      <c r="S75" s="102">
        <f t="shared" si="7"/>
        <v>-2.1316282072803006E-13</v>
      </c>
    </row>
    <row r="76" spans="1:19" x14ac:dyDescent="0.25">
      <c r="A76" s="118"/>
      <c r="B76" s="670">
        <f t="shared" ref="B76" si="11">B75-C76</f>
        <v>0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12">I75-F76</f>
        <v>0</v>
      </c>
      <c r="K76" s="118"/>
      <c r="L76" s="670">
        <f t="shared" ref="L76" si="13">L75-M76</f>
        <v>0</v>
      </c>
      <c r="M76" s="15"/>
      <c r="N76" s="58"/>
      <c r="O76" s="198"/>
      <c r="P76" s="68">
        <f>N76</f>
        <v>0</v>
      </c>
      <c r="Q76" s="69"/>
      <c r="R76" s="70"/>
      <c r="S76" s="102">
        <f t="shared" ref="S76:S77" si="14">S75-P76</f>
        <v>-2.1316282072803006E-13</v>
      </c>
    </row>
    <row r="77" spans="1:1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12"/>
        <v>0</v>
      </c>
      <c r="K77" s="118"/>
      <c r="M77" s="15"/>
      <c r="N77" s="58"/>
      <c r="O77" s="198"/>
      <c r="P77" s="68">
        <f>N77</f>
        <v>0</v>
      </c>
      <c r="Q77" s="69"/>
      <c r="R77" s="70"/>
      <c r="S77" s="102">
        <f t="shared" si="14"/>
        <v>-2.1316282072803006E-13</v>
      </c>
    </row>
    <row r="78" spans="1:19" ht="15.75" thickBot="1" x14ac:dyDescent="0.3">
      <c r="A78" s="118"/>
      <c r="B78" s="16"/>
      <c r="C78" s="52"/>
      <c r="D78" s="104"/>
      <c r="E78" s="187"/>
      <c r="F78" s="100"/>
      <c r="G78" s="101"/>
      <c r="H78" s="59"/>
      <c r="K78" s="118"/>
      <c r="L78" s="16"/>
      <c r="M78" s="52"/>
      <c r="N78" s="104"/>
      <c r="O78" s="187"/>
      <c r="P78" s="100"/>
      <c r="Q78" s="101"/>
      <c r="R78" s="59"/>
    </row>
    <row r="79" spans="1:19" x14ac:dyDescent="0.25">
      <c r="C79" s="53">
        <f>SUM(C10:C78)</f>
        <v>134</v>
      </c>
      <c r="D79" s="6">
        <f>SUM(D10:D78)</f>
        <v>1567.6399999999999</v>
      </c>
      <c r="F79" s="6">
        <f>SUM(F10:F78)</f>
        <v>1591.6899999999998</v>
      </c>
      <c r="M79" s="53">
        <f>SUM(M10:M78)</f>
        <v>86</v>
      </c>
      <c r="N79" s="6">
        <f>SUM(N10:N78)</f>
        <v>1063.1299999999999</v>
      </c>
      <c r="P79" s="6">
        <f>SUM(P10:P78)</f>
        <v>1063.1299999999999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-84</v>
      </c>
    </row>
    <row r="83" spans="3:16" ht="15.75" thickBot="1" x14ac:dyDescent="0.3"/>
    <row r="84" spans="3:16" ht="15.75" thickBot="1" x14ac:dyDescent="0.3">
      <c r="C84" s="1665" t="s">
        <v>11</v>
      </c>
      <c r="D84" s="1666"/>
      <c r="E84" s="56">
        <f>E6+E7-F79+E8</f>
        <v>-505.11999999999989</v>
      </c>
      <c r="F84" s="1040"/>
      <c r="M84" s="1665" t="s">
        <v>11</v>
      </c>
      <c r="N84" s="1666"/>
      <c r="O84" s="56">
        <f>O6+O7-P79+O8</f>
        <v>-1039.08</v>
      </c>
      <c r="P84" s="1225"/>
    </row>
  </sheetData>
  <mergeCells count="8">
    <mergeCell ref="A1:G1"/>
    <mergeCell ref="A5:A7"/>
    <mergeCell ref="B6:B7"/>
    <mergeCell ref="C84:D84"/>
    <mergeCell ref="K1:Q1"/>
    <mergeCell ref="K5:K7"/>
    <mergeCell ref="L6:L7"/>
    <mergeCell ref="M84:N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K1" zoomScaleNormal="100" workbookViewId="0">
      <pane ySplit="9" topLeftCell="A13" activePane="bottomLeft" state="frozen"/>
      <selection pane="bottomLeft" activeCell="V36" sqref="V36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663" t="s">
        <v>312</v>
      </c>
      <c r="B1" s="1663"/>
      <c r="C1" s="1663"/>
      <c r="D1" s="1663"/>
      <c r="E1" s="1663"/>
      <c r="F1" s="1663"/>
      <c r="G1" s="1663"/>
      <c r="H1" s="11">
        <v>1</v>
      </c>
      <c r="L1" s="1668" t="s">
        <v>336</v>
      </c>
      <c r="M1" s="1668"/>
      <c r="N1" s="1668"/>
      <c r="O1" s="1668"/>
      <c r="P1" s="1668"/>
      <c r="Q1" s="1668"/>
      <c r="R1" s="1668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27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10"/>
      <c r="B4" s="1676" t="s">
        <v>67</v>
      </c>
      <c r="C4" s="230"/>
      <c r="D4" s="130"/>
      <c r="E4" s="435">
        <v>834.3</v>
      </c>
      <c r="F4" s="1146">
        <v>32</v>
      </c>
      <c r="G4" s="151"/>
      <c r="H4" s="151"/>
      <c r="L4" s="410"/>
      <c r="M4" s="1676" t="s">
        <v>67</v>
      </c>
      <c r="N4" s="230"/>
      <c r="O4" s="130"/>
      <c r="P4" s="435">
        <v>-30.59</v>
      </c>
      <c r="Q4" s="1225">
        <v>0</v>
      </c>
      <c r="R4" s="151"/>
      <c r="S4" s="151"/>
    </row>
    <row r="5" spans="1:21" ht="21" customHeight="1" x14ac:dyDescent="0.25">
      <c r="A5" s="1678" t="s">
        <v>80</v>
      </c>
      <c r="B5" s="1677"/>
      <c r="C5" s="230">
        <v>119</v>
      </c>
      <c r="D5" s="130">
        <v>45098</v>
      </c>
      <c r="E5" s="435">
        <v>5017.21</v>
      </c>
      <c r="F5" s="1146">
        <v>186</v>
      </c>
      <c r="G5" s="5"/>
      <c r="L5" s="1678" t="s">
        <v>80</v>
      </c>
      <c r="M5" s="1677"/>
      <c r="N5" s="230">
        <v>119</v>
      </c>
      <c r="O5" s="130">
        <v>45120</v>
      </c>
      <c r="P5" s="435">
        <v>5003.5600000000004</v>
      </c>
      <c r="Q5" s="1225">
        <v>176</v>
      </c>
      <c r="R5" s="5"/>
    </row>
    <row r="6" spans="1:21" ht="21" customHeight="1" x14ac:dyDescent="0.25">
      <c r="A6" s="1678"/>
      <c r="B6" s="1677"/>
      <c r="C6" s="371">
        <v>119</v>
      </c>
      <c r="D6" s="130">
        <v>45105</v>
      </c>
      <c r="E6" s="436">
        <v>5006.87</v>
      </c>
      <c r="F6" s="1146">
        <v>183</v>
      </c>
      <c r="G6" s="47">
        <f>F79</f>
        <v>10888.969999999998</v>
      </c>
      <c r="H6" s="7">
        <f>E6-G6+E7+E5-G5+E4</f>
        <v>-30.589999999997644</v>
      </c>
      <c r="L6" s="1678"/>
      <c r="M6" s="1677"/>
      <c r="N6" s="371">
        <v>119</v>
      </c>
      <c r="O6" s="130">
        <v>45129</v>
      </c>
      <c r="P6" s="436">
        <v>5014.46</v>
      </c>
      <c r="Q6" s="1225">
        <v>179</v>
      </c>
      <c r="R6" s="47">
        <f>Q79</f>
        <v>7954.9299999999976</v>
      </c>
      <c r="S6" s="7">
        <f>P6-R6+P7+P5-R5+P4</f>
        <v>2032.500000000003</v>
      </c>
    </row>
    <row r="7" spans="1:21" ht="15.75" x14ac:dyDescent="0.25">
      <c r="A7" s="685"/>
      <c r="B7" s="1677"/>
      <c r="C7" s="220"/>
      <c r="D7" s="218"/>
      <c r="E7" s="435"/>
      <c r="F7" s="1146"/>
      <c r="L7" s="685"/>
      <c r="M7" s="1677"/>
      <c r="N7" s="220"/>
      <c r="O7" s="218"/>
      <c r="P7" s="435"/>
      <c r="Q7" s="1225"/>
    </row>
    <row r="8" spans="1:21" ht="15.75" thickBot="1" x14ac:dyDescent="0.3">
      <c r="A8" s="410"/>
      <c r="B8" s="144"/>
      <c r="C8" s="220"/>
      <c r="D8" s="218"/>
      <c r="E8" s="435"/>
      <c r="F8" s="1146"/>
      <c r="L8" s="410"/>
      <c r="M8" s="144"/>
      <c r="N8" s="220"/>
      <c r="O8" s="218"/>
      <c r="P8" s="435"/>
      <c r="Q8" s="1225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29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29" t="s">
        <v>3</v>
      </c>
    </row>
    <row r="10" spans="1:21" ht="15.75" thickTop="1" x14ac:dyDescent="0.25">
      <c r="A10" s="79" t="s">
        <v>32</v>
      </c>
      <c r="B10" s="670">
        <f>F6-C10+F5+F4+F7+F8</f>
        <v>369</v>
      </c>
      <c r="C10" s="624">
        <v>32</v>
      </c>
      <c r="D10" s="565">
        <v>864.9</v>
      </c>
      <c r="E10" s="592">
        <v>45100</v>
      </c>
      <c r="F10" s="565">
        <f t="shared" ref="F10:F11" si="0">D10</f>
        <v>864.9</v>
      </c>
      <c r="G10" s="563" t="s">
        <v>254</v>
      </c>
      <c r="H10" s="564">
        <v>135</v>
      </c>
      <c r="I10" s="596">
        <f>E6-F10+E5+E4+E7+E8</f>
        <v>9993.48</v>
      </c>
      <c r="J10" s="652">
        <f>F10*H10</f>
        <v>116761.5</v>
      </c>
      <c r="L10" s="79" t="s">
        <v>32</v>
      </c>
      <c r="M10" s="670">
        <f>Q6-N10+Q5+Q4+Q7+Q8</f>
        <v>354</v>
      </c>
      <c r="N10" s="624">
        <v>1</v>
      </c>
      <c r="O10" s="565">
        <v>25.4</v>
      </c>
      <c r="P10" s="592">
        <v>45122</v>
      </c>
      <c r="Q10" s="565">
        <f t="shared" ref="Q10:Q57" si="1">O10</f>
        <v>25.4</v>
      </c>
      <c r="R10" s="563" t="s">
        <v>606</v>
      </c>
      <c r="S10" s="564">
        <v>136</v>
      </c>
      <c r="T10" s="596">
        <f>P6-Q10+P5+P4+P7+P8</f>
        <v>9962.0300000000007</v>
      </c>
      <c r="U10" s="652">
        <f>Q10*S10</f>
        <v>3454.3999999999996</v>
      </c>
    </row>
    <row r="11" spans="1:21" x14ac:dyDescent="0.25">
      <c r="A11" s="185"/>
      <c r="B11" s="670">
        <f>B10-C11</f>
        <v>368</v>
      </c>
      <c r="C11" s="624">
        <v>1</v>
      </c>
      <c r="D11" s="565">
        <v>31.25</v>
      </c>
      <c r="E11" s="592">
        <v>45101</v>
      </c>
      <c r="F11" s="565">
        <f t="shared" si="0"/>
        <v>31.25</v>
      </c>
      <c r="G11" s="563" t="s">
        <v>260</v>
      </c>
      <c r="H11" s="564">
        <v>136</v>
      </c>
      <c r="I11" s="596">
        <f>I10-F11</f>
        <v>9962.23</v>
      </c>
      <c r="J11" s="652">
        <f t="shared" ref="J11:J74" si="2">F11*H11</f>
        <v>4250</v>
      </c>
      <c r="L11" s="185"/>
      <c r="M11" s="670">
        <f>M10-N11</f>
        <v>353</v>
      </c>
      <c r="N11" s="624">
        <v>1</v>
      </c>
      <c r="O11" s="565">
        <v>31.39</v>
      </c>
      <c r="P11" s="592">
        <v>45122</v>
      </c>
      <c r="Q11" s="565">
        <f t="shared" si="1"/>
        <v>31.39</v>
      </c>
      <c r="R11" s="563" t="s">
        <v>608</v>
      </c>
      <c r="S11" s="564">
        <v>136</v>
      </c>
      <c r="T11" s="596">
        <f>T10-Q11</f>
        <v>9930.6400000000012</v>
      </c>
      <c r="U11" s="652">
        <f t="shared" ref="U11:U74" si="3">Q11*S11</f>
        <v>4269.04</v>
      </c>
    </row>
    <row r="12" spans="1:21" x14ac:dyDescent="0.25">
      <c r="A12" s="174"/>
      <c r="B12" s="670">
        <f t="shared" ref="B12:B75" si="4">B11-C12</f>
        <v>338</v>
      </c>
      <c r="C12" s="624">
        <v>30</v>
      </c>
      <c r="D12" s="565">
        <v>801.38</v>
      </c>
      <c r="E12" s="592">
        <v>45101</v>
      </c>
      <c r="F12" s="565">
        <f t="shared" ref="F12:F57" si="5">D12</f>
        <v>801.38</v>
      </c>
      <c r="G12" s="563" t="s">
        <v>263</v>
      </c>
      <c r="H12" s="564">
        <v>136</v>
      </c>
      <c r="I12" s="596">
        <f t="shared" ref="I12:I75" si="6">I11-F12</f>
        <v>9160.85</v>
      </c>
      <c r="J12" s="652">
        <f t="shared" si="2"/>
        <v>108987.68</v>
      </c>
      <c r="L12" s="174"/>
      <c r="M12" s="670">
        <f t="shared" ref="M12:M75" si="7">M11-N12</f>
        <v>352</v>
      </c>
      <c r="N12" s="624">
        <v>1</v>
      </c>
      <c r="O12" s="565">
        <v>28.8</v>
      </c>
      <c r="P12" s="592">
        <v>45124</v>
      </c>
      <c r="Q12" s="565">
        <f t="shared" si="1"/>
        <v>28.8</v>
      </c>
      <c r="R12" s="563" t="s">
        <v>618</v>
      </c>
      <c r="S12" s="564">
        <v>136</v>
      </c>
      <c r="T12" s="596">
        <f t="shared" ref="T12:T75" si="8">T11-Q12</f>
        <v>9901.840000000002</v>
      </c>
      <c r="U12" s="652">
        <f t="shared" si="3"/>
        <v>3916.8</v>
      </c>
    </row>
    <row r="13" spans="1:21" x14ac:dyDescent="0.25">
      <c r="A13" s="174"/>
      <c r="B13" s="670">
        <f t="shared" si="4"/>
        <v>299</v>
      </c>
      <c r="C13" s="624">
        <v>39</v>
      </c>
      <c r="D13" s="565">
        <v>1064.33</v>
      </c>
      <c r="E13" s="592">
        <v>45103</v>
      </c>
      <c r="F13" s="565">
        <f t="shared" si="5"/>
        <v>1064.33</v>
      </c>
      <c r="G13" s="563" t="s">
        <v>265</v>
      </c>
      <c r="H13" s="564">
        <v>136</v>
      </c>
      <c r="I13" s="596">
        <f t="shared" si="6"/>
        <v>8096.52</v>
      </c>
      <c r="J13" s="652">
        <f t="shared" si="2"/>
        <v>144748.88</v>
      </c>
      <c r="L13" s="174"/>
      <c r="M13" s="670">
        <f t="shared" si="7"/>
        <v>332</v>
      </c>
      <c r="N13" s="624">
        <v>20</v>
      </c>
      <c r="O13" s="565">
        <v>566.85</v>
      </c>
      <c r="P13" s="592">
        <v>45124</v>
      </c>
      <c r="Q13" s="565">
        <f t="shared" si="1"/>
        <v>566.85</v>
      </c>
      <c r="R13" s="563" t="s">
        <v>623</v>
      </c>
      <c r="S13" s="564">
        <v>136</v>
      </c>
      <c r="T13" s="596">
        <f t="shared" si="8"/>
        <v>9334.9900000000016</v>
      </c>
      <c r="U13" s="652">
        <f t="shared" si="3"/>
        <v>77091.600000000006</v>
      </c>
    </row>
    <row r="14" spans="1:21" x14ac:dyDescent="0.25">
      <c r="A14" s="81" t="s">
        <v>33</v>
      </c>
      <c r="B14" s="670">
        <f t="shared" si="4"/>
        <v>298</v>
      </c>
      <c r="C14" s="624">
        <v>1</v>
      </c>
      <c r="D14" s="565">
        <v>28.89</v>
      </c>
      <c r="E14" s="592">
        <v>45104</v>
      </c>
      <c r="F14" s="565">
        <f t="shared" si="5"/>
        <v>28.89</v>
      </c>
      <c r="G14" s="563" t="s">
        <v>272</v>
      </c>
      <c r="H14" s="564">
        <v>136</v>
      </c>
      <c r="I14" s="596">
        <f t="shared" si="6"/>
        <v>8067.63</v>
      </c>
      <c r="J14" s="652">
        <f t="shared" si="2"/>
        <v>3929.04</v>
      </c>
      <c r="L14" s="81" t="s">
        <v>33</v>
      </c>
      <c r="M14" s="670">
        <f t="shared" si="7"/>
        <v>318</v>
      </c>
      <c r="N14" s="624">
        <v>14</v>
      </c>
      <c r="O14" s="565">
        <v>394.07</v>
      </c>
      <c r="P14" s="592">
        <v>45125</v>
      </c>
      <c r="Q14" s="565">
        <f t="shared" si="1"/>
        <v>394.07</v>
      </c>
      <c r="R14" s="563" t="s">
        <v>626</v>
      </c>
      <c r="S14" s="564">
        <v>136</v>
      </c>
      <c r="T14" s="596">
        <f t="shared" si="8"/>
        <v>8940.9200000000019</v>
      </c>
      <c r="U14" s="652">
        <f t="shared" si="3"/>
        <v>53593.52</v>
      </c>
    </row>
    <row r="15" spans="1:21" x14ac:dyDescent="0.25">
      <c r="A15" s="576"/>
      <c r="B15" s="670">
        <f t="shared" si="4"/>
        <v>273</v>
      </c>
      <c r="C15" s="624">
        <v>25</v>
      </c>
      <c r="D15" s="565">
        <v>693.06</v>
      </c>
      <c r="E15" s="592">
        <v>45104</v>
      </c>
      <c r="F15" s="565">
        <f t="shared" si="5"/>
        <v>693.06</v>
      </c>
      <c r="G15" s="563" t="s">
        <v>279</v>
      </c>
      <c r="H15" s="564">
        <v>136</v>
      </c>
      <c r="I15" s="596">
        <f t="shared" si="6"/>
        <v>7374.57</v>
      </c>
      <c r="J15" s="652">
        <f t="shared" si="2"/>
        <v>94256.159999999989</v>
      </c>
      <c r="L15" s="576"/>
      <c r="M15" s="670">
        <f t="shared" si="7"/>
        <v>313</v>
      </c>
      <c r="N15" s="624">
        <v>5</v>
      </c>
      <c r="O15" s="565">
        <v>147.22999999999999</v>
      </c>
      <c r="P15" s="592">
        <v>45126</v>
      </c>
      <c r="Q15" s="565">
        <f t="shared" si="1"/>
        <v>147.22999999999999</v>
      </c>
      <c r="R15" s="563" t="s">
        <v>641</v>
      </c>
      <c r="S15" s="564">
        <v>136</v>
      </c>
      <c r="T15" s="596">
        <f t="shared" si="8"/>
        <v>8793.6900000000023</v>
      </c>
      <c r="U15" s="652">
        <f t="shared" si="3"/>
        <v>20023.28</v>
      </c>
    </row>
    <row r="16" spans="1:21" x14ac:dyDescent="0.25">
      <c r="A16" s="576"/>
      <c r="B16" s="670">
        <f t="shared" si="4"/>
        <v>238</v>
      </c>
      <c r="C16" s="624">
        <v>35</v>
      </c>
      <c r="D16" s="565">
        <v>898.1</v>
      </c>
      <c r="E16" s="592">
        <v>45105</v>
      </c>
      <c r="F16" s="565">
        <f t="shared" si="5"/>
        <v>898.1</v>
      </c>
      <c r="G16" s="563" t="s">
        <v>285</v>
      </c>
      <c r="H16" s="564">
        <v>137</v>
      </c>
      <c r="I16" s="596">
        <f t="shared" si="6"/>
        <v>6476.4699999999993</v>
      </c>
      <c r="J16" s="652">
        <f t="shared" si="2"/>
        <v>123039.7</v>
      </c>
      <c r="L16" s="576"/>
      <c r="M16" s="670">
        <f t="shared" si="7"/>
        <v>312</v>
      </c>
      <c r="N16" s="624">
        <v>1</v>
      </c>
      <c r="O16" s="565">
        <v>27.44</v>
      </c>
      <c r="P16" s="592">
        <v>45126</v>
      </c>
      <c r="Q16" s="565">
        <f t="shared" si="1"/>
        <v>27.44</v>
      </c>
      <c r="R16" s="563" t="s">
        <v>644</v>
      </c>
      <c r="S16" s="564">
        <v>136</v>
      </c>
      <c r="T16" s="596">
        <f t="shared" si="8"/>
        <v>8766.2500000000018</v>
      </c>
      <c r="U16" s="652">
        <f t="shared" si="3"/>
        <v>3731.84</v>
      </c>
    </row>
    <row r="17" spans="1:21" x14ac:dyDescent="0.25">
      <c r="A17" s="594"/>
      <c r="B17" s="670">
        <f t="shared" si="4"/>
        <v>203</v>
      </c>
      <c r="C17" s="624">
        <v>35</v>
      </c>
      <c r="D17" s="565">
        <v>905.16</v>
      </c>
      <c r="E17" s="592">
        <v>45108</v>
      </c>
      <c r="F17" s="565">
        <f t="shared" si="5"/>
        <v>905.16</v>
      </c>
      <c r="G17" s="563" t="s">
        <v>299</v>
      </c>
      <c r="H17" s="564">
        <v>136</v>
      </c>
      <c r="I17" s="596">
        <f t="shared" si="6"/>
        <v>5571.3099999999995</v>
      </c>
      <c r="J17" s="652">
        <f t="shared" si="2"/>
        <v>123101.75999999999</v>
      </c>
      <c r="L17" s="594"/>
      <c r="M17" s="670">
        <f t="shared" si="7"/>
        <v>292</v>
      </c>
      <c r="N17" s="624">
        <v>20</v>
      </c>
      <c r="O17" s="565">
        <v>565.66999999999996</v>
      </c>
      <c r="P17" s="592">
        <v>45127</v>
      </c>
      <c r="Q17" s="565">
        <f t="shared" si="1"/>
        <v>565.66999999999996</v>
      </c>
      <c r="R17" s="563" t="s">
        <v>648</v>
      </c>
      <c r="S17" s="564">
        <v>136</v>
      </c>
      <c r="T17" s="596">
        <f t="shared" si="8"/>
        <v>8200.5800000000017</v>
      </c>
      <c r="U17" s="652">
        <f t="shared" si="3"/>
        <v>76931.12</v>
      </c>
    </row>
    <row r="18" spans="1:21" x14ac:dyDescent="0.25">
      <c r="A18" s="594"/>
      <c r="B18" s="628">
        <f t="shared" si="4"/>
        <v>202</v>
      </c>
      <c r="C18" s="624">
        <v>1</v>
      </c>
      <c r="D18" s="565">
        <v>28.39</v>
      </c>
      <c r="E18" s="592">
        <v>45108</v>
      </c>
      <c r="F18" s="565">
        <f t="shared" si="5"/>
        <v>28.39</v>
      </c>
      <c r="G18" s="563" t="s">
        <v>300</v>
      </c>
      <c r="H18" s="564">
        <v>136</v>
      </c>
      <c r="I18" s="625">
        <f t="shared" si="6"/>
        <v>5542.9199999999992</v>
      </c>
      <c r="J18" s="652">
        <f t="shared" si="2"/>
        <v>3861.04</v>
      </c>
      <c r="L18" s="594"/>
      <c r="M18" s="670">
        <f t="shared" si="7"/>
        <v>291</v>
      </c>
      <c r="N18" s="624">
        <v>1</v>
      </c>
      <c r="O18" s="565">
        <v>26.72</v>
      </c>
      <c r="P18" s="592">
        <v>45127</v>
      </c>
      <c r="Q18" s="565">
        <f t="shared" si="1"/>
        <v>26.72</v>
      </c>
      <c r="R18" s="563" t="s">
        <v>651</v>
      </c>
      <c r="S18" s="564">
        <v>136</v>
      </c>
      <c r="T18" s="596">
        <f t="shared" si="8"/>
        <v>8173.8600000000015</v>
      </c>
      <c r="U18" s="652">
        <f t="shared" si="3"/>
        <v>3633.92</v>
      </c>
    </row>
    <row r="19" spans="1:21" x14ac:dyDescent="0.25">
      <c r="A19" s="1129"/>
      <c r="B19" s="670">
        <f t="shared" si="4"/>
        <v>202</v>
      </c>
      <c r="C19" s="624"/>
      <c r="D19" s="565"/>
      <c r="E19" s="592"/>
      <c r="F19" s="565">
        <f t="shared" si="5"/>
        <v>0</v>
      </c>
      <c r="G19" s="563"/>
      <c r="H19" s="564"/>
      <c r="I19" s="596">
        <f t="shared" si="6"/>
        <v>5542.9199999999992</v>
      </c>
      <c r="J19" s="652">
        <f t="shared" si="2"/>
        <v>0</v>
      </c>
      <c r="L19" s="1129"/>
      <c r="M19" s="670">
        <f t="shared" si="7"/>
        <v>290</v>
      </c>
      <c r="N19" s="624">
        <v>1</v>
      </c>
      <c r="O19" s="565">
        <v>22.23</v>
      </c>
      <c r="P19" s="592">
        <v>45127</v>
      </c>
      <c r="Q19" s="565">
        <f t="shared" si="1"/>
        <v>22.23</v>
      </c>
      <c r="R19" s="563" t="s">
        <v>651</v>
      </c>
      <c r="S19" s="564">
        <v>136</v>
      </c>
      <c r="T19" s="596">
        <f t="shared" si="8"/>
        <v>8151.6300000000019</v>
      </c>
      <c r="U19" s="652">
        <f t="shared" si="3"/>
        <v>3023.28</v>
      </c>
    </row>
    <row r="20" spans="1:21" x14ac:dyDescent="0.25">
      <c r="A20" s="1129"/>
      <c r="B20" s="670">
        <f t="shared" si="4"/>
        <v>201</v>
      </c>
      <c r="C20" s="624">
        <v>1</v>
      </c>
      <c r="D20" s="1246">
        <v>23</v>
      </c>
      <c r="E20" s="1247">
        <v>45110</v>
      </c>
      <c r="F20" s="1246">
        <f t="shared" si="5"/>
        <v>23</v>
      </c>
      <c r="G20" s="1248" t="s">
        <v>494</v>
      </c>
      <c r="H20" s="1249">
        <v>136</v>
      </c>
      <c r="I20" s="596">
        <f t="shared" si="6"/>
        <v>5519.9199999999992</v>
      </c>
      <c r="J20" s="652">
        <f t="shared" si="2"/>
        <v>3128</v>
      </c>
      <c r="L20" s="1129"/>
      <c r="M20" s="670">
        <f t="shared" si="7"/>
        <v>255</v>
      </c>
      <c r="N20" s="624">
        <v>35</v>
      </c>
      <c r="O20" s="565">
        <v>958.36</v>
      </c>
      <c r="P20" s="592">
        <v>45127</v>
      </c>
      <c r="Q20" s="565">
        <f t="shared" si="1"/>
        <v>958.36</v>
      </c>
      <c r="R20" s="563" t="s">
        <v>657</v>
      </c>
      <c r="S20" s="564">
        <v>136</v>
      </c>
      <c r="T20" s="596">
        <f t="shared" si="8"/>
        <v>7193.2700000000023</v>
      </c>
      <c r="U20" s="652">
        <f t="shared" si="3"/>
        <v>130336.96000000001</v>
      </c>
    </row>
    <row r="21" spans="1:21" x14ac:dyDescent="0.25">
      <c r="A21" s="1129"/>
      <c r="B21" s="670">
        <f t="shared" si="4"/>
        <v>200</v>
      </c>
      <c r="C21" s="624">
        <v>1</v>
      </c>
      <c r="D21" s="1246">
        <v>24.77</v>
      </c>
      <c r="E21" s="1247">
        <v>45110</v>
      </c>
      <c r="F21" s="1246">
        <f t="shared" si="5"/>
        <v>24.77</v>
      </c>
      <c r="G21" s="1248" t="s">
        <v>495</v>
      </c>
      <c r="H21" s="1249">
        <v>136</v>
      </c>
      <c r="I21" s="596">
        <f t="shared" si="6"/>
        <v>5495.1499999999987</v>
      </c>
      <c r="J21" s="652">
        <f t="shared" si="2"/>
        <v>3368.72</v>
      </c>
      <c r="L21" s="1129"/>
      <c r="M21" s="670">
        <f t="shared" si="7"/>
        <v>220</v>
      </c>
      <c r="N21" s="624">
        <v>35</v>
      </c>
      <c r="O21" s="565">
        <v>1039.07</v>
      </c>
      <c r="P21" s="592">
        <v>45128</v>
      </c>
      <c r="Q21" s="565">
        <f t="shared" si="1"/>
        <v>1039.07</v>
      </c>
      <c r="R21" s="563" t="s">
        <v>668</v>
      </c>
      <c r="S21" s="564">
        <v>136</v>
      </c>
      <c r="T21" s="596">
        <f t="shared" si="8"/>
        <v>6154.2000000000025</v>
      </c>
      <c r="U21" s="652">
        <f t="shared" si="3"/>
        <v>141313.51999999999</v>
      </c>
    </row>
    <row r="22" spans="1:21" x14ac:dyDescent="0.25">
      <c r="A22" s="1129"/>
      <c r="B22" s="670">
        <f t="shared" si="4"/>
        <v>165</v>
      </c>
      <c r="C22" s="624">
        <v>35</v>
      </c>
      <c r="D22" s="1246">
        <v>963.6</v>
      </c>
      <c r="E22" s="1247">
        <v>45110</v>
      </c>
      <c r="F22" s="1246">
        <f t="shared" si="5"/>
        <v>963.6</v>
      </c>
      <c r="G22" s="1248" t="s">
        <v>498</v>
      </c>
      <c r="H22" s="1249">
        <v>136</v>
      </c>
      <c r="I22" s="596">
        <f t="shared" si="6"/>
        <v>4531.5499999999984</v>
      </c>
      <c r="J22" s="652">
        <f t="shared" si="2"/>
        <v>131049.60000000001</v>
      </c>
      <c r="L22" s="1129"/>
      <c r="M22" s="670">
        <f t="shared" si="7"/>
        <v>212</v>
      </c>
      <c r="N22" s="624">
        <v>8</v>
      </c>
      <c r="O22" s="565">
        <v>230.79</v>
      </c>
      <c r="P22" s="592">
        <v>45129</v>
      </c>
      <c r="Q22" s="565">
        <f t="shared" si="1"/>
        <v>230.79</v>
      </c>
      <c r="R22" s="563" t="s">
        <v>670</v>
      </c>
      <c r="S22" s="564">
        <v>136</v>
      </c>
      <c r="T22" s="596">
        <f t="shared" si="8"/>
        <v>5923.4100000000026</v>
      </c>
      <c r="U22" s="652">
        <f t="shared" si="3"/>
        <v>31387.439999999999</v>
      </c>
    </row>
    <row r="23" spans="1:21" x14ac:dyDescent="0.25">
      <c r="A23" s="1129"/>
      <c r="B23" s="670">
        <f t="shared" si="4"/>
        <v>164</v>
      </c>
      <c r="C23" s="624">
        <v>1</v>
      </c>
      <c r="D23" s="1246">
        <v>26.4</v>
      </c>
      <c r="E23" s="1247">
        <v>45112</v>
      </c>
      <c r="F23" s="1246">
        <f t="shared" si="5"/>
        <v>26.4</v>
      </c>
      <c r="G23" s="1248" t="s">
        <v>513</v>
      </c>
      <c r="H23" s="1249">
        <v>135</v>
      </c>
      <c r="I23" s="596">
        <f t="shared" si="6"/>
        <v>4505.1499999999987</v>
      </c>
      <c r="J23" s="652">
        <f t="shared" si="2"/>
        <v>3564</v>
      </c>
      <c r="L23" s="1129"/>
      <c r="M23" s="670">
        <f t="shared" si="7"/>
        <v>202</v>
      </c>
      <c r="N23" s="624">
        <v>10</v>
      </c>
      <c r="O23" s="565">
        <v>285.54000000000002</v>
      </c>
      <c r="P23" s="592">
        <v>45131</v>
      </c>
      <c r="Q23" s="565">
        <f t="shared" si="1"/>
        <v>285.54000000000002</v>
      </c>
      <c r="R23" s="563" t="s">
        <v>680</v>
      </c>
      <c r="S23" s="564">
        <v>131</v>
      </c>
      <c r="T23" s="596">
        <f t="shared" si="8"/>
        <v>5637.8700000000026</v>
      </c>
      <c r="U23" s="652">
        <f t="shared" si="3"/>
        <v>37405.740000000005</v>
      </c>
    </row>
    <row r="24" spans="1:21" x14ac:dyDescent="0.25">
      <c r="A24" s="1130"/>
      <c r="B24" s="670">
        <f t="shared" si="4"/>
        <v>163</v>
      </c>
      <c r="C24" s="624">
        <v>1</v>
      </c>
      <c r="D24" s="1246">
        <v>27.62</v>
      </c>
      <c r="E24" s="1247">
        <v>45114</v>
      </c>
      <c r="F24" s="1246">
        <f t="shared" si="5"/>
        <v>27.62</v>
      </c>
      <c r="G24" s="1248" t="s">
        <v>529</v>
      </c>
      <c r="H24" s="1249">
        <v>136</v>
      </c>
      <c r="I24" s="596">
        <f t="shared" si="6"/>
        <v>4477.5299999999988</v>
      </c>
      <c r="J24" s="652">
        <f t="shared" si="2"/>
        <v>3756.32</v>
      </c>
      <c r="L24" s="1130"/>
      <c r="M24" s="670">
        <f t="shared" si="7"/>
        <v>201</v>
      </c>
      <c r="N24" s="624">
        <v>1</v>
      </c>
      <c r="O24" s="565">
        <v>27.94</v>
      </c>
      <c r="P24" s="592">
        <v>45131</v>
      </c>
      <c r="Q24" s="565">
        <f t="shared" si="1"/>
        <v>27.94</v>
      </c>
      <c r="R24" s="563" t="s">
        <v>681</v>
      </c>
      <c r="S24" s="564">
        <v>136</v>
      </c>
      <c r="T24" s="596">
        <f t="shared" si="8"/>
        <v>5609.930000000003</v>
      </c>
      <c r="U24" s="652">
        <f t="shared" si="3"/>
        <v>3799.84</v>
      </c>
    </row>
    <row r="25" spans="1:21" x14ac:dyDescent="0.25">
      <c r="A25" s="1129"/>
      <c r="B25" s="670">
        <f t="shared" si="4"/>
        <v>162</v>
      </c>
      <c r="C25" s="624">
        <v>1</v>
      </c>
      <c r="D25" s="1246">
        <v>30.57</v>
      </c>
      <c r="E25" s="1247">
        <v>45114</v>
      </c>
      <c r="F25" s="1246">
        <f t="shared" si="5"/>
        <v>30.57</v>
      </c>
      <c r="G25" s="1248" t="s">
        <v>529</v>
      </c>
      <c r="H25" s="1249">
        <v>136</v>
      </c>
      <c r="I25" s="596">
        <f t="shared" si="6"/>
        <v>4446.9599999999991</v>
      </c>
      <c r="J25" s="652">
        <f t="shared" si="2"/>
        <v>4157.5200000000004</v>
      </c>
      <c r="L25" s="1129"/>
      <c r="M25" s="670">
        <f t="shared" si="7"/>
        <v>179</v>
      </c>
      <c r="N25" s="624">
        <v>22</v>
      </c>
      <c r="O25" s="565">
        <v>624.62</v>
      </c>
      <c r="P25" s="592">
        <v>45131</v>
      </c>
      <c r="Q25" s="565">
        <f t="shared" si="1"/>
        <v>624.62</v>
      </c>
      <c r="R25" s="563" t="s">
        <v>682</v>
      </c>
      <c r="S25" s="564">
        <v>131</v>
      </c>
      <c r="T25" s="596">
        <f t="shared" si="8"/>
        <v>4985.3100000000031</v>
      </c>
      <c r="U25" s="652">
        <f t="shared" si="3"/>
        <v>81825.22</v>
      </c>
    </row>
    <row r="26" spans="1:21" x14ac:dyDescent="0.25">
      <c r="A26" s="118"/>
      <c r="B26" s="174">
        <f t="shared" si="4"/>
        <v>127</v>
      </c>
      <c r="C26" s="15">
        <v>35</v>
      </c>
      <c r="D26" s="1202">
        <v>938.81</v>
      </c>
      <c r="E26" s="1250">
        <v>45114</v>
      </c>
      <c r="F26" s="1202">
        <f t="shared" si="5"/>
        <v>938.81</v>
      </c>
      <c r="G26" s="1204" t="s">
        <v>530</v>
      </c>
      <c r="H26" s="1205">
        <v>136</v>
      </c>
      <c r="I26" s="102">
        <f t="shared" si="6"/>
        <v>3508.1499999999992</v>
      </c>
      <c r="J26" s="17">
        <f t="shared" si="2"/>
        <v>127678.15999999999</v>
      </c>
      <c r="L26" s="118"/>
      <c r="M26" s="174">
        <f t="shared" si="7"/>
        <v>178</v>
      </c>
      <c r="N26" s="15">
        <v>1</v>
      </c>
      <c r="O26" s="68">
        <v>29.71</v>
      </c>
      <c r="P26" s="191">
        <v>45131</v>
      </c>
      <c r="Q26" s="68">
        <f t="shared" si="1"/>
        <v>29.71</v>
      </c>
      <c r="R26" s="69" t="s">
        <v>683</v>
      </c>
      <c r="S26" s="70">
        <v>131</v>
      </c>
      <c r="T26" s="102">
        <f t="shared" si="8"/>
        <v>4955.6000000000031</v>
      </c>
      <c r="U26" s="17">
        <f t="shared" si="3"/>
        <v>3892.01</v>
      </c>
    </row>
    <row r="27" spans="1:21" x14ac:dyDescent="0.25">
      <c r="A27" s="118"/>
      <c r="B27" s="174">
        <f t="shared" si="4"/>
        <v>102</v>
      </c>
      <c r="C27" s="15">
        <v>25</v>
      </c>
      <c r="D27" s="1202">
        <v>673.36</v>
      </c>
      <c r="E27" s="1250">
        <v>45114</v>
      </c>
      <c r="F27" s="1202">
        <f t="shared" si="5"/>
        <v>673.36</v>
      </c>
      <c r="G27" s="1204" t="s">
        <v>537</v>
      </c>
      <c r="H27" s="1205">
        <v>136</v>
      </c>
      <c r="I27" s="102">
        <f t="shared" si="6"/>
        <v>2834.7899999999991</v>
      </c>
      <c r="J27" s="17">
        <f t="shared" si="2"/>
        <v>91576.960000000006</v>
      </c>
      <c r="L27" s="118"/>
      <c r="M27" s="174">
        <f t="shared" si="7"/>
        <v>177</v>
      </c>
      <c r="N27" s="15">
        <v>1</v>
      </c>
      <c r="O27" s="68">
        <v>27.99</v>
      </c>
      <c r="P27" s="191">
        <v>45133</v>
      </c>
      <c r="Q27" s="68">
        <f t="shared" si="1"/>
        <v>27.99</v>
      </c>
      <c r="R27" s="69" t="s">
        <v>696</v>
      </c>
      <c r="S27" s="70">
        <v>131</v>
      </c>
      <c r="T27" s="102">
        <f t="shared" si="8"/>
        <v>4927.6100000000033</v>
      </c>
      <c r="U27" s="17">
        <f t="shared" si="3"/>
        <v>3666.6899999999996</v>
      </c>
    </row>
    <row r="28" spans="1:21" x14ac:dyDescent="0.25">
      <c r="A28" s="118"/>
      <c r="B28" s="174">
        <f t="shared" si="4"/>
        <v>101</v>
      </c>
      <c r="C28" s="15">
        <v>1</v>
      </c>
      <c r="D28" s="1202">
        <v>29.3</v>
      </c>
      <c r="E28" s="1250">
        <v>45115</v>
      </c>
      <c r="F28" s="1202">
        <f t="shared" si="5"/>
        <v>29.3</v>
      </c>
      <c r="G28" s="1204" t="s">
        <v>539</v>
      </c>
      <c r="H28" s="1205">
        <v>136</v>
      </c>
      <c r="I28" s="102">
        <f t="shared" si="6"/>
        <v>2805.4899999999989</v>
      </c>
      <c r="J28" s="17">
        <f t="shared" si="2"/>
        <v>3984.8</v>
      </c>
      <c r="L28" s="118"/>
      <c r="M28" s="174">
        <f t="shared" si="7"/>
        <v>157</v>
      </c>
      <c r="N28" s="15">
        <v>20</v>
      </c>
      <c r="O28" s="68">
        <v>555.87</v>
      </c>
      <c r="P28" s="191">
        <v>45134</v>
      </c>
      <c r="Q28" s="68">
        <f t="shared" si="1"/>
        <v>555.87</v>
      </c>
      <c r="R28" s="69" t="s">
        <v>702</v>
      </c>
      <c r="S28" s="70">
        <v>131</v>
      </c>
      <c r="T28" s="102">
        <f t="shared" si="8"/>
        <v>4371.7400000000034</v>
      </c>
      <c r="U28" s="17">
        <f t="shared" si="3"/>
        <v>72818.97</v>
      </c>
    </row>
    <row r="29" spans="1:21" x14ac:dyDescent="0.25">
      <c r="A29" s="118"/>
      <c r="B29" s="174">
        <f t="shared" si="4"/>
        <v>66</v>
      </c>
      <c r="C29" s="15">
        <v>35</v>
      </c>
      <c r="D29" s="1202">
        <v>995.39</v>
      </c>
      <c r="E29" s="1250">
        <v>45117</v>
      </c>
      <c r="F29" s="1202">
        <f t="shared" si="5"/>
        <v>995.39</v>
      </c>
      <c r="G29" s="1204" t="s">
        <v>550</v>
      </c>
      <c r="H29" s="1205">
        <v>136</v>
      </c>
      <c r="I29" s="102">
        <f t="shared" si="6"/>
        <v>1810.099999999999</v>
      </c>
      <c r="J29" s="17">
        <f t="shared" si="2"/>
        <v>135373.04</v>
      </c>
      <c r="L29" s="118"/>
      <c r="M29" s="174">
        <f t="shared" si="7"/>
        <v>147</v>
      </c>
      <c r="N29" s="15">
        <v>10</v>
      </c>
      <c r="O29" s="68">
        <v>258.91000000000003</v>
      </c>
      <c r="P29" s="191">
        <v>45134</v>
      </c>
      <c r="Q29" s="68">
        <f t="shared" si="1"/>
        <v>258.91000000000003</v>
      </c>
      <c r="R29" s="69" t="s">
        <v>706</v>
      </c>
      <c r="S29" s="70">
        <v>131</v>
      </c>
      <c r="T29" s="102">
        <f t="shared" si="8"/>
        <v>4112.8300000000036</v>
      </c>
      <c r="U29" s="17">
        <f t="shared" si="3"/>
        <v>33917.210000000006</v>
      </c>
    </row>
    <row r="30" spans="1:21" x14ac:dyDescent="0.25">
      <c r="A30" s="118"/>
      <c r="B30" s="174">
        <f t="shared" si="4"/>
        <v>65</v>
      </c>
      <c r="C30" s="15">
        <v>1</v>
      </c>
      <c r="D30" s="1202">
        <v>31.57</v>
      </c>
      <c r="E30" s="1250">
        <v>45118</v>
      </c>
      <c r="F30" s="1202">
        <f t="shared" si="5"/>
        <v>31.57</v>
      </c>
      <c r="G30" s="1204" t="s">
        <v>562</v>
      </c>
      <c r="H30" s="1205">
        <v>135</v>
      </c>
      <c r="I30" s="102">
        <f t="shared" si="6"/>
        <v>1778.5299999999991</v>
      </c>
      <c r="J30" s="17">
        <f t="shared" si="2"/>
        <v>4261.95</v>
      </c>
      <c r="L30" s="118"/>
      <c r="M30" s="174">
        <f t="shared" si="7"/>
        <v>127</v>
      </c>
      <c r="N30" s="15">
        <v>20</v>
      </c>
      <c r="O30" s="68">
        <v>555.05999999999995</v>
      </c>
      <c r="P30" s="191">
        <v>45135</v>
      </c>
      <c r="Q30" s="68">
        <f t="shared" si="1"/>
        <v>555.05999999999995</v>
      </c>
      <c r="R30" s="69" t="s">
        <v>716</v>
      </c>
      <c r="S30" s="70">
        <v>131</v>
      </c>
      <c r="T30" s="102">
        <f t="shared" si="8"/>
        <v>3557.7700000000036</v>
      </c>
      <c r="U30" s="17">
        <f t="shared" si="3"/>
        <v>72712.859999999986</v>
      </c>
    </row>
    <row r="31" spans="1:21" x14ac:dyDescent="0.25">
      <c r="A31" s="118"/>
      <c r="B31" s="174">
        <f t="shared" si="4"/>
        <v>53</v>
      </c>
      <c r="C31" s="15">
        <v>12</v>
      </c>
      <c r="D31" s="1202">
        <v>321.91000000000003</v>
      </c>
      <c r="E31" s="1250">
        <v>45118</v>
      </c>
      <c r="F31" s="1202">
        <f t="shared" si="5"/>
        <v>321.91000000000003</v>
      </c>
      <c r="G31" s="1204" t="s">
        <v>566</v>
      </c>
      <c r="H31" s="1205">
        <v>136</v>
      </c>
      <c r="I31" s="102">
        <f t="shared" si="6"/>
        <v>1456.619999999999</v>
      </c>
      <c r="J31" s="17">
        <f t="shared" si="2"/>
        <v>43779.76</v>
      </c>
      <c r="L31" s="118"/>
      <c r="M31" s="174">
        <f t="shared" si="7"/>
        <v>125</v>
      </c>
      <c r="N31" s="15">
        <v>2</v>
      </c>
      <c r="O31" s="68">
        <f>28.76+31.39</f>
        <v>60.150000000000006</v>
      </c>
      <c r="P31" s="191">
        <v>45135</v>
      </c>
      <c r="Q31" s="68">
        <f t="shared" si="1"/>
        <v>60.150000000000006</v>
      </c>
      <c r="R31" s="69" t="s">
        <v>715</v>
      </c>
      <c r="S31" s="70">
        <v>131</v>
      </c>
      <c r="T31" s="102">
        <f t="shared" si="8"/>
        <v>3497.6200000000035</v>
      </c>
      <c r="U31" s="17">
        <f t="shared" si="3"/>
        <v>7879.6500000000005</v>
      </c>
    </row>
    <row r="32" spans="1:21" x14ac:dyDescent="0.25">
      <c r="A32" s="118"/>
      <c r="B32" s="174">
        <f t="shared" si="4"/>
        <v>35</v>
      </c>
      <c r="C32" s="15">
        <v>18</v>
      </c>
      <c r="D32" s="1202">
        <v>511.8</v>
      </c>
      <c r="E32" s="1250">
        <v>45120</v>
      </c>
      <c r="F32" s="1202">
        <f t="shared" si="5"/>
        <v>511.8</v>
      </c>
      <c r="G32" s="1204" t="s">
        <v>594</v>
      </c>
      <c r="H32" s="1205">
        <v>136</v>
      </c>
      <c r="I32" s="102">
        <f t="shared" si="6"/>
        <v>944.81999999999903</v>
      </c>
      <c r="J32" s="17">
        <f t="shared" si="2"/>
        <v>69604.800000000003</v>
      </c>
      <c r="L32" s="118"/>
      <c r="M32" s="174">
        <f t="shared" si="7"/>
        <v>99</v>
      </c>
      <c r="N32" s="15">
        <v>26</v>
      </c>
      <c r="O32" s="68">
        <v>740.39</v>
      </c>
      <c r="P32" s="191">
        <v>45135</v>
      </c>
      <c r="Q32" s="68">
        <f t="shared" si="1"/>
        <v>740.39</v>
      </c>
      <c r="R32" s="69" t="s">
        <v>722</v>
      </c>
      <c r="S32" s="70">
        <v>131</v>
      </c>
      <c r="T32" s="102">
        <f t="shared" si="8"/>
        <v>2757.2300000000037</v>
      </c>
      <c r="U32" s="17">
        <f t="shared" si="3"/>
        <v>96991.09</v>
      </c>
    </row>
    <row r="33" spans="1:21" x14ac:dyDescent="0.25">
      <c r="A33" s="118"/>
      <c r="B33" s="174">
        <f t="shared" si="4"/>
        <v>25</v>
      </c>
      <c r="C33" s="15">
        <v>10</v>
      </c>
      <c r="D33" s="1202">
        <v>278.22000000000003</v>
      </c>
      <c r="E33" s="1250">
        <v>45121</v>
      </c>
      <c r="F33" s="1202">
        <f t="shared" si="5"/>
        <v>278.22000000000003</v>
      </c>
      <c r="G33" s="1204" t="s">
        <v>596</v>
      </c>
      <c r="H33" s="1205">
        <v>136</v>
      </c>
      <c r="I33" s="102">
        <f t="shared" si="6"/>
        <v>666.599999999999</v>
      </c>
      <c r="J33" s="17">
        <f t="shared" si="2"/>
        <v>37837.920000000006</v>
      </c>
      <c r="L33" s="118"/>
      <c r="M33" s="174">
        <f t="shared" si="7"/>
        <v>95</v>
      </c>
      <c r="N33" s="15">
        <v>4</v>
      </c>
      <c r="O33" s="68">
        <v>112.54</v>
      </c>
      <c r="P33" s="191">
        <v>45136</v>
      </c>
      <c r="Q33" s="68">
        <f t="shared" si="1"/>
        <v>112.54</v>
      </c>
      <c r="R33" s="69" t="s">
        <v>723</v>
      </c>
      <c r="S33" s="70">
        <v>131</v>
      </c>
      <c r="T33" s="102">
        <f t="shared" si="8"/>
        <v>2644.6900000000037</v>
      </c>
      <c r="U33" s="17">
        <f t="shared" si="3"/>
        <v>14742.740000000002</v>
      </c>
    </row>
    <row r="34" spans="1:21" x14ac:dyDescent="0.25">
      <c r="A34" s="118"/>
      <c r="B34" s="174">
        <f t="shared" si="4"/>
        <v>24</v>
      </c>
      <c r="C34" s="15">
        <v>1</v>
      </c>
      <c r="D34" s="1202">
        <v>25.95</v>
      </c>
      <c r="E34" s="1250">
        <v>45121</v>
      </c>
      <c r="F34" s="1202">
        <f t="shared" si="5"/>
        <v>25.95</v>
      </c>
      <c r="G34" s="1204" t="s">
        <v>598</v>
      </c>
      <c r="H34" s="1205">
        <v>136</v>
      </c>
      <c r="I34" s="102">
        <f t="shared" si="6"/>
        <v>640.64999999999895</v>
      </c>
      <c r="J34" s="17">
        <f t="shared" si="2"/>
        <v>3529.2</v>
      </c>
      <c r="L34" s="118"/>
      <c r="M34" s="174">
        <f t="shared" si="7"/>
        <v>74</v>
      </c>
      <c r="N34" s="15">
        <v>21</v>
      </c>
      <c r="O34" s="68">
        <v>585.20000000000005</v>
      </c>
      <c r="P34" s="191">
        <v>45136</v>
      </c>
      <c r="Q34" s="68">
        <f t="shared" si="1"/>
        <v>585.20000000000005</v>
      </c>
      <c r="R34" s="69" t="s">
        <v>727</v>
      </c>
      <c r="S34" s="70">
        <v>131</v>
      </c>
      <c r="T34" s="102">
        <f t="shared" si="8"/>
        <v>2059.4900000000034</v>
      </c>
      <c r="U34" s="17">
        <f t="shared" si="3"/>
        <v>76661.200000000012</v>
      </c>
    </row>
    <row r="35" spans="1:21" x14ac:dyDescent="0.25">
      <c r="A35" s="118"/>
      <c r="B35" s="174">
        <f t="shared" si="4"/>
        <v>0</v>
      </c>
      <c r="C35" s="15">
        <v>24</v>
      </c>
      <c r="D35" s="1202">
        <v>671.24</v>
      </c>
      <c r="E35" s="1250">
        <v>44999</v>
      </c>
      <c r="F35" s="1202">
        <f t="shared" si="5"/>
        <v>671.24</v>
      </c>
      <c r="G35" s="1204" t="s">
        <v>603</v>
      </c>
      <c r="H35" s="1205">
        <v>136</v>
      </c>
      <c r="I35" s="102">
        <f t="shared" si="6"/>
        <v>-30.590000000001055</v>
      </c>
      <c r="J35" s="17">
        <f t="shared" si="2"/>
        <v>91288.639999999999</v>
      </c>
      <c r="L35" s="118"/>
      <c r="M35" s="174">
        <f t="shared" si="7"/>
        <v>73</v>
      </c>
      <c r="N35" s="15">
        <v>1</v>
      </c>
      <c r="O35" s="68">
        <v>26.99</v>
      </c>
      <c r="P35" s="191">
        <v>45136</v>
      </c>
      <c r="Q35" s="68">
        <f t="shared" si="1"/>
        <v>26.99</v>
      </c>
      <c r="R35" s="69" t="s">
        <v>731</v>
      </c>
      <c r="S35" s="70">
        <v>131</v>
      </c>
      <c r="T35" s="102">
        <f t="shared" si="8"/>
        <v>2032.5000000000034</v>
      </c>
      <c r="U35" s="17">
        <f t="shared" si="3"/>
        <v>3535.6899999999996</v>
      </c>
    </row>
    <row r="36" spans="1:21" x14ac:dyDescent="0.25">
      <c r="A36" s="118"/>
      <c r="B36" s="174">
        <f t="shared" si="4"/>
        <v>0</v>
      </c>
      <c r="C36" s="15"/>
      <c r="D36" s="1202"/>
      <c r="E36" s="1250"/>
      <c r="F36" s="1202">
        <f t="shared" si="5"/>
        <v>0</v>
      </c>
      <c r="G36" s="1204"/>
      <c r="H36" s="1205"/>
      <c r="I36" s="102">
        <f t="shared" si="6"/>
        <v>-30.590000000001055</v>
      </c>
      <c r="J36" s="17">
        <f t="shared" si="2"/>
        <v>0</v>
      </c>
      <c r="L36" s="118"/>
      <c r="M36" s="174">
        <f t="shared" si="7"/>
        <v>73</v>
      </c>
      <c r="N36" s="15"/>
      <c r="O36" s="68"/>
      <c r="P36" s="191"/>
      <c r="Q36" s="68">
        <f t="shared" si="1"/>
        <v>0</v>
      </c>
      <c r="R36" s="69"/>
      <c r="S36" s="70"/>
      <c r="T36" s="102">
        <f t="shared" si="8"/>
        <v>2032.5000000000034</v>
      </c>
      <c r="U36" s="17">
        <f t="shared" si="3"/>
        <v>0</v>
      </c>
    </row>
    <row r="37" spans="1:21" x14ac:dyDescent="0.25">
      <c r="A37" s="118" t="s">
        <v>22</v>
      </c>
      <c r="B37" s="174">
        <f t="shared" si="4"/>
        <v>0</v>
      </c>
      <c r="C37" s="15"/>
      <c r="D37" s="1202"/>
      <c r="E37" s="1250"/>
      <c r="F37" s="1202">
        <f t="shared" si="5"/>
        <v>0</v>
      </c>
      <c r="G37" s="1204"/>
      <c r="H37" s="1205"/>
      <c r="I37" s="102">
        <f t="shared" si="6"/>
        <v>-30.590000000001055</v>
      </c>
      <c r="J37" s="17">
        <f t="shared" si="2"/>
        <v>0</v>
      </c>
      <c r="L37" s="118" t="s">
        <v>22</v>
      </c>
      <c r="M37" s="174">
        <f t="shared" si="7"/>
        <v>73</v>
      </c>
      <c r="N37" s="15"/>
      <c r="O37" s="68"/>
      <c r="P37" s="191"/>
      <c r="Q37" s="68">
        <f t="shared" si="1"/>
        <v>0</v>
      </c>
      <c r="R37" s="69"/>
      <c r="S37" s="70"/>
      <c r="T37" s="102">
        <f t="shared" si="8"/>
        <v>2032.5000000000034</v>
      </c>
      <c r="U37" s="17">
        <f t="shared" si="3"/>
        <v>0</v>
      </c>
    </row>
    <row r="38" spans="1:21" x14ac:dyDescent="0.25">
      <c r="A38" s="119"/>
      <c r="B38" s="174">
        <f t="shared" si="4"/>
        <v>0</v>
      </c>
      <c r="C38" s="15"/>
      <c r="D38" s="1202"/>
      <c r="E38" s="1250"/>
      <c r="F38" s="1514">
        <f t="shared" si="5"/>
        <v>0</v>
      </c>
      <c r="G38" s="1515"/>
      <c r="H38" s="1516"/>
      <c r="I38" s="1494">
        <f t="shared" si="6"/>
        <v>-30.590000000001055</v>
      </c>
      <c r="J38" s="1517">
        <f t="shared" si="2"/>
        <v>0</v>
      </c>
      <c r="L38" s="119"/>
      <c r="M38" s="174">
        <f t="shared" si="7"/>
        <v>73</v>
      </c>
      <c r="N38" s="15"/>
      <c r="O38" s="68"/>
      <c r="P38" s="191"/>
      <c r="Q38" s="68">
        <f t="shared" si="1"/>
        <v>0</v>
      </c>
      <c r="R38" s="69"/>
      <c r="S38" s="70"/>
      <c r="T38" s="102">
        <f t="shared" si="8"/>
        <v>2032.5000000000034</v>
      </c>
      <c r="U38" s="17">
        <f t="shared" si="3"/>
        <v>0</v>
      </c>
    </row>
    <row r="39" spans="1:21" x14ac:dyDescent="0.25">
      <c r="A39" s="118"/>
      <c r="B39" s="174">
        <f t="shared" si="4"/>
        <v>0</v>
      </c>
      <c r="C39" s="15"/>
      <c r="D39" s="1202"/>
      <c r="E39" s="1250"/>
      <c r="F39" s="1514">
        <f t="shared" si="5"/>
        <v>0</v>
      </c>
      <c r="G39" s="1515"/>
      <c r="H39" s="1516"/>
      <c r="I39" s="1494">
        <f t="shared" si="6"/>
        <v>-30.590000000001055</v>
      </c>
      <c r="J39" s="1517">
        <f t="shared" si="2"/>
        <v>0</v>
      </c>
      <c r="L39" s="118"/>
      <c r="M39" s="174">
        <f t="shared" si="7"/>
        <v>73</v>
      </c>
      <c r="N39" s="15"/>
      <c r="O39" s="68"/>
      <c r="P39" s="191"/>
      <c r="Q39" s="68">
        <f t="shared" si="1"/>
        <v>0</v>
      </c>
      <c r="R39" s="69"/>
      <c r="S39" s="70"/>
      <c r="T39" s="102">
        <f t="shared" si="8"/>
        <v>2032.5000000000034</v>
      </c>
      <c r="U39" s="17">
        <f t="shared" si="3"/>
        <v>0</v>
      </c>
    </row>
    <row r="40" spans="1:21" x14ac:dyDescent="0.25">
      <c r="A40" s="118"/>
      <c r="B40" s="174">
        <f t="shared" si="4"/>
        <v>0</v>
      </c>
      <c r="C40" s="15"/>
      <c r="D40" s="1202"/>
      <c r="E40" s="1250"/>
      <c r="F40" s="1514">
        <f t="shared" si="5"/>
        <v>0</v>
      </c>
      <c r="G40" s="1515"/>
      <c r="H40" s="1516"/>
      <c r="I40" s="1494">
        <f t="shared" si="6"/>
        <v>-30.590000000001055</v>
      </c>
      <c r="J40" s="1517">
        <f t="shared" si="2"/>
        <v>0</v>
      </c>
      <c r="L40" s="118"/>
      <c r="M40" s="174">
        <f t="shared" si="7"/>
        <v>73</v>
      </c>
      <c r="N40" s="15"/>
      <c r="O40" s="68"/>
      <c r="P40" s="191"/>
      <c r="Q40" s="68">
        <f t="shared" si="1"/>
        <v>0</v>
      </c>
      <c r="R40" s="69"/>
      <c r="S40" s="70"/>
      <c r="T40" s="102">
        <f t="shared" si="8"/>
        <v>2032.5000000000034</v>
      </c>
      <c r="U40" s="17">
        <f t="shared" si="3"/>
        <v>0</v>
      </c>
    </row>
    <row r="41" spans="1:21" x14ac:dyDescent="0.25">
      <c r="A41" s="118"/>
      <c r="B41" s="174">
        <f t="shared" si="4"/>
        <v>0</v>
      </c>
      <c r="C41" s="15"/>
      <c r="D41" s="1202"/>
      <c r="E41" s="1250"/>
      <c r="F41" s="1514">
        <f t="shared" si="5"/>
        <v>0</v>
      </c>
      <c r="G41" s="1515"/>
      <c r="H41" s="1516"/>
      <c r="I41" s="1494">
        <f t="shared" si="6"/>
        <v>-30.590000000001055</v>
      </c>
      <c r="J41" s="1517">
        <f t="shared" si="2"/>
        <v>0</v>
      </c>
      <c r="L41" s="118"/>
      <c r="M41" s="174">
        <f t="shared" si="7"/>
        <v>73</v>
      </c>
      <c r="N41" s="15"/>
      <c r="O41" s="68"/>
      <c r="P41" s="191"/>
      <c r="Q41" s="68">
        <f t="shared" si="1"/>
        <v>0</v>
      </c>
      <c r="R41" s="69"/>
      <c r="S41" s="70"/>
      <c r="T41" s="102">
        <f t="shared" si="8"/>
        <v>2032.5000000000034</v>
      </c>
      <c r="U41" s="17">
        <f t="shared" si="3"/>
        <v>0</v>
      </c>
    </row>
    <row r="42" spans="1:21" x14ac:dyDescent="0.25">
      <c r="A42" s="118"/>
      <c r="B42" s="174">
        <f t="shared" si="4"/>
        <v>0</v>
      </c>
      <c r="C42" s="15"/>
      <c r="D42" s="1202"/>
      <c r="E42" s="1250"/>
      <c r="F42" s="1514">
        <f t="shared" si="5"/>
        <v>0</v>
      </c>
      <c r="G42" s="1515"/>
      <c r="H42" s="1516"/>
      <c r="I42" s="1494">
        <f t="shared" si="6"/>
        <v>-30.590000000001055</v>
      </c>
      <c r="J42" s="1517">
        <f t="shared" si="2"/>
        <v>0</v>
      </c>
      <c r="L42" s="118"/>
      <c r="M42" s="174">
        <f t="shared" si="7"/>
        <v>73</v>
      </c>
      <c r="N42" s="15"/>
      <c r="O42" s="68"/>
      <c r="P42" s="191"/>
      <c r="Q42" s="68">
        <f t="shared" si="1"/>
        <v>0</v>
      </c>
      <c r="R42" s="69"/>
      <c r="S42" s="70"/>
      <c r="T42" s="102">
        <f t="shared" si="8"/>
        <v>2032.5000000000034</v>
      </c>
      <c r="U42" s="17">
        <f t="shared" si="3"/>
        <v>0</v>
      </c>
    </row>
    <row r="43" spans="1:21" x14ac:dyDescent="0.25">
      <c r="A43" s="118"/>
      <c r="B43" s="174">
        <f t="shared" si="4"/>
        <v>0</v>
      </c>
      <c r="C43" s="15"/>
      <c r="D43" s="1202"/>
      <c r="E43" s="1250"/>
      <c r="F43" s="1202">
        <f t="shared" si="5"/>
        <v>0</v>
      </c>
      <c r="G43" s="1204"/>
      <c r="H43" s="1205"/>
      <c r="I43" s="102">
        <f t="shared" si="6"/>
        <v>-30.590000000001055</v>
      </c>
      <c r="J43" s="17">
        <f t="shared" si="2"/>
        <v>0</v>
      </c>
      <c r="L43" s="118"/>
      <c r="M43" s="174">
        <f t="shared" si="7"/>
        <v>73</v>
      </c>
      <c r="N43" s="15"/>
      <c r="O43" s="68"/>
      <c r="P43" s="191"/>
      <c r="Q43" s="68">
        <f t="shared" si="1"/>
        <v>0</v>
      </c>
      <c r="R43" s="69"/>
      <c r="S43" s="70"/>
      <c r="T43" s="102">
        <f t="shared" si="8"/>
        <v>2032.5000000000034</v>
      </c>
      <c r="U43" s="17">
        <f t="shared" si="3"/>
        <v>0</v>
      </c>
    </row>
    <row r="44" spans="1:21" x14ac:dyDescent="0.25">
      <c r="A44" s="118"/>
      <c r="B44" s="174">
        <f t="shared" si="4"/>
        <v>0</v>
      </c>
      <c r="C44" s="15"/>
      <c r="D44" s="1202"/>
      <c r="E44" s="1250"/>
      <c r="F44" s="1202">
        <f t="shared" si="5"/>
        <v>0</v>
      </c>
      <c r="G44" s="1204"/>
      <c r="H44" s="1205"/>
      <c r="I44" s="102">
        <f t="shared" si="6"/>
        <v>-30.590000000001055</v>
      </c>
      <c r="J44" s="17">
        <f t="shared" si="2"/>
        <v>0</v>
      </c>
      <c r="L44" s="118"/>
      <c r="M44" s="174">
        <f t="shared" si="7"/>
        <v>73</v>
      </c>
      <c r="N44" s="15"/>
      <c r="O44" s="68"/>
      <c r="P44" s="191"/>
      <c r="Q44" s="68">
        <f t="shared" si="1"/>
        <v>0</v>
      </c>
      <c r="R44" s="69"/>
      <c r="S44" s="70"/>
      <c r="T44" s="102">
        <f t="shared" si="8"/>
        <v>2032.5000000000034</v>
      </c>
      <c r="U44" s="17">
        <f t="shared" si="3"/>
        <v>0</v>
      </c>
    </row>
    <row r="45" spans="1:21" x14ac:dyDescent="0.25">
      <c r="A45" s="118"/>
      <c r="B45" s="174">
        <f t="shared" si="4"/>
        <v>0</v>
      </c>
      <c r="C45" s="15"/>
      <c r="D45" s="1202"/>
      <c r="E45" s="1250"/>
      <c r="F45" s="1202">
        <f t="shared" si="5"/>
        <v>0</v>
      </c>
      <c r="G45" s="1204"/>
      <c r="H45" s="1205"/>
      <c r="I45" s="102">
        <f t="shared" si="6"/>
        <v>-30.590000000001055</v>
      </c>
      <c r="J45" s="17">
        <f t="shared" si="2"/>
        <v>0</v>
      </c>
      <c r="L45" s="118"/>
      <c r="M45" s="174">
        <f t="shared" si="7"/>
        <v>73</v>
      </c>
      <c r="N45" s="15"/>
      <c r="O45" s="68"/>
      <c r="P45" s="191"/>
      <c r="Q45" s="68">
        <f t="shared" si="1"/>
        <v>0</v>
      </c>
      <c r="R45" s="69"/>
      <c r="S45" s="70"/>
      <c r="T45" s="102">
        <f t="shared" si="8"/>
        <v>2032.5000000000034</v>
      </c>
      <c r="U45" s="17">
        <f t="shared" si="3"/>
        <v>0</v>
      </c>
    </row>
    <row r="46" spans="1:21" x14ac:dyDescent="0.25">
      <c r="A46" s="118"/>
      <c r="B46" s="174">
        <f t="shared" si="4"/>
        <v>0</v>
      </c>
      <c r="C46" s="15"/>
      <c r="D46" s="1202"/>
      <c r="E46" s="1250"/>
      <c r="F46" s="1202">
        <f t="shared" si="5"/>
        <v>0</v>
      </c>
      <c r="G46" s="1204"/>
      <c r="H46" s="1205"/>
      <c r="I46" s="102">
        <f t="shared" si="6"/>
        <v>-30.590000000001055</v>
      </c>
      <c r="J46" s="17">
        <f t="shared" si="2"/>
        <v>0</v>
      </c>
      <c r="L46" s="118"/>
      <c r="M46" s="174">
        <f t="shared" si="7"/>
        <v>73</v>
      </c>
      <c r="N46" s="15"/>
      <c r="O46" s="68"/>
      <c r="P46" s="191"/>
      <c r="Q46" s="68">
        <f t="shared" si="1"/>
        <v>0</v>
      </c>
      <c r="R46" s="69"/>
      <c r="S46" s="70"/>
      <c r="T46" s="102">
        <f t="shared" si="8"/>
        <v>2032.5000000000034</v>
      </c>
      <c r="U46" s="17">
        <f t="shared" si="3"/>
        <v>0</v>
      </c>
    </row>
    <row r="47" spans="1:21" x14ac:dyDescent="0.25">
      <c r="A47" s="118"/>
      <c r="B47" s="174">
        <f t="shared" si="4"/>
        <v>0</v>
      </c>
      <c r="C47" s="15"/>
      <c r="D47" s="1202"/>
      <c r="E47" s="1250"/>
      <c r="F47" s="1202">
        <f t="shared" si="5"/>
        <v>0</v>
      </c>
      <c r="G47" s="1204"/>
      <c r="H47" s="1205"/>
      <c r="I47" s="102">
        <f t="shared" si="6"/>
        <v>-30.590000000001055</v>
      </c>
      <c r="J47" s="17">
        <f t="shared" si="2"/>
        <v>0</v>
      </c>
      <c r="L47" s="118"/>
      <c r="M47" s="174">
        <f t="shared" si="7"/>
        <v>73</v>
      </c>
      <c r="N47" s="15"/>
      <c r="O47" s="68"/>
      <c r="P47" s="191"/>
      <c r="Q47" s="68">
        <f t="shared" si="1"/>
        <v>0</v>
      </c>
      <c r="R47" s="69"/>
      <c r="S47" s="70"/>
      <c r="T47" s="102">
        <f t="shared" si="8"/>
        <v>2032.5000000000034</v>
      </c>
      <c r="U47" s="17">
        <f t="shared" si="3"/>
        <v>0</v>
      </c>
    </row>
    <row r="48" spans="1:21" x14ac:dyDescent="0.25">
      <c r="A48" s="118"/>
      <c r="B48" s="174">
        <f t="shared" si="4"/>
        <v>0</v>
      </c>
      <c r="C48" s="15"/>
      <c r="D48" s="68"/>
      <c r="E48" s="191"/>
      <c r="F48" s="68">
        <f t="shared" si="5"/>
        <v>0</v>
      </c>
      <c r="G48" s="69"/>
      <c r="H48" s="70"/>
      <c r="I48" s="102">
        <f t="shared" si="6"/>
        <v>-30.590000000001055</v>
      </c>
      <c r="J48" s="17">
        <f t="shared" si="2"/>
        <v>0</v>
      </c>
      <c r="L48" s="118"/>
      <c r="M48" s="174">
        <f t="shared" si="7"/>
        <v>73</v>
      </c>
      <c r="N48" s="15"/>
      <c r="O48" s="68"/>
      <c r="P48" s="191"/>
      <c r="Q48" s="68">
        <f t="shared" si="1"/>
        <v>0</v>
      </c>
      <c r="R48" s="69"/>
      <c r="S48" s="70"/>
      <c r="T48" s="102">
        <f t="shared" si="8"/>
        <v>2032.5000000000034</v>
      </c>
      <c r="U48" s="17">
        <f t="shared" si="3"/>
        <v>0</v>
      </c>
    </row>
    <row r="49" spans="1:21" x14ac:dyDescent="0.25">
      <c r="A49" s="118"/>
      <c r="B49" s="174">
        <f t="shared" si="4"/>
        <v>0</v>
      </c>
      <c r="C49" s="15"/>
      <c r="D49" s="68"/>
      <c r="E49" s="191"/>
      <c r="F49" s="68">
        <f t="shared" si="5"/>
        <v>0</v>
      </c>
      <c r="G49" s="69"/>
      <c r="H49" s="70"/>
      <c r="I49" s="102">
        <f t="shared" si="6"/>
        <v>-30.590000000001055</v>
      </c>
      <c r="J49" s="17">
        <f t="shared" si="2"/>
        <v>0</v>
      </c>
      <c r="L49" s="118"/>
      <c r="M49" s="174">
        <f t="shared" si="7"/>
        <v>73</v>
      </c>
      <c r="N49" s="15"/>
      <c r="O49" s="68"/>
      <c r="P49" s="191"/>
      <c r="Q49" s="68">
        <f t="shared" si="1"/>
        <v>0</v>
      </c>
      <c r="R49" s="69"/>
      <c r="S49" s="70"/>
      <c r="T49" s="102">
        <f t="shared" si="8"/>
        <v>2032.5000000000034</v>
      </c>
      <c r="U49" s="17">
        <f t="shared" si="3"/>
        <v>0</v>
      </c>
    </row>
    <row r="50" spans="1:21" x14ac:dyDescent="0.25">
      <c r="A50" s="118"/>
      <c r="B50" s="174">
        <f t="shared" si="4"/>
        <v>0</v>
      </c>
      <c r="C50" s="15"/>
      <c r="D50" s="68"/>
      <c r="E50" s="191"/>
      <c r="F50" s="68">
        <f t="shared" si="5"/>
        <v>0</v>
      </c>
      <c r="G50" s="69"/>
      <c r="H50" s="70"/>
      <c r="I50" s="102">
        <f t="shared" si="6"/>
        <v>-30.590000000001055</v>
      </c>
      <c r="J50" s="17">
        <f t="shared" si="2"/>
        <v>0</v>
      </c>
      <c r="L50" s="118"/>
      <c r="M50" s="174">
        <f t="shared" si="7"/>
        <v>73</v>
      </c>
      <c r="N50" s="15"/>
      <c r="O50" s="68"/>
      <c r="P50" s="191"/>
      <c r="Q50" s="68">
        <f t="shared" si="1"/>
        <v>0</v>
      </c>
      <c r="R50" s="69"/>
      <c r="S50" s="70"/>
      <c r="T50" s="102">
        <f t="shared" si="8"/>
        <v>2032.5000000000034</v>
      </c>
      <c r="U50" s="17">
        <f t="shared" si="3"/>
        <v>0</v>
      </c>
    </row>
    <row r="51" spans="1:21" x14ac:dyDescent="0.25">
      <c r="A51" s="118"/>
      <c r="B51" s="174">
        <f t="shared" si="4"/>
        <v>0</v>
      </c>
      <c r="C51" s="15"/>
      <c r="D51" s="68"/>
      <c r="E51" s="191"/>
      <c r="F51" s="68">
        <f t="shared" si="5"/>
        <v>0</v>
      </c>
      <c r="G51" s="69"/>
      <c r="H51" s="70"/>
      <c r="I51" s="102">
        <f t="shared" si="6"/>
        <v>-30.590000000001055</v>
      </c>
      <c r="J51" s="17">
        <f t="shared" si="2"/>
        <v>0</v>
      </c>
      <c r="L51" s="118"/>
      <c r="M51" s="174">
        <f t="shared" si="7"/>
        <v>73</v>
      </c>
      <c r="N51" s="15"/>
      <c r="O51" s="1344"/>
      <c r="P51" s="1345"/>
      <c r="Q51" s="1344">
        <f t="shared" si="1"/>
        <v>0</v>
      </c>
      <c r="R51" s="1347"/>
      <c r="S51" s="1346"/>
      <c r="T51" s="102">
        <f t="shared" si="8"/>
        <v>2032.5000000000034</v>
      </c>
      <c r="U51" s="17">
        <f t="shared" si="3"/>
        <v>0</v>
      </c>
    </row>
    <row r="52" spans="1:21" x14ac:dyDescent="0.25">
      <c r="A52" s="118"/>
      <c r="B52" s="174">
        <f t="shared" si="4"/>
        <v>0</v>
      </c>
      <c r="C52" s="15"/>
      <c r="D52" s="68"/>
      <c r="E52" s="191"/>
      <c r="F52" s="68">
        <f t="shared" si="5"/>
        <v>0</v>
      </c>
      <c r="G52" s="69"/>
      <c r="H52" s="70"/>
      <c r="I52" s="102">
        <f t="shared" si="6"/>
        <v>-30.590000000001055</v>
      </c>
      <c r="J52" s="17">
        <f t="shared" si="2"/>
        <v>0</v>
      </c>
      <c r="L52" s="118"/>
      <c r="M52" s="174">
        <f t="shared" si="7"/>
        <v>73</v>
      </c>
      <c r="N52" s="15"/>
      <c r="O52" s="68"/>
      <c r="P52" s="191"/>
      <c r="Q52" s="68">
        <f t="shared" si="1"/>
        <v>0</v>
      </c>
      <c r="R52" s="69"/>
      <c r="S52" s="70"/>
      <c r="T52" s="102">
        <f t="shared" si="8"/>
        <v>2032.5000000000034</v>
      </c>
      <c r="U52" s="17">
        <f t="shared" si="3"/>
        <v>0</v>
      </c>
    </row>
    <row r="53" spans="1:21" x14ac:dyDescent="0.25">
      <c r="A53" s="118"/>
      <c r="B53" s="174">
        <f t="shared" si="4"/>
        <v>0</v>
      </c>
      <c r="C53" s="15"/>
      <c r="D53" s="68"/>
      <c r="E53" s="191"/>
      <c r="F53" s="68">
        <f t="shared" si="5"/>
        <v>0</v>
      </c>
      <c r="G53" s="69"/>
      <c r="H53" s="70"/>
      <c r="I53" s="102">
        <f t="shared" si="6"/>
        <v>-30.590000000001055</v>
      </c>
      <c r="J53" s="17">
        <f t="shared" si="2"/>
        <v>0</v>
      </c>
      <c r="L53" s="118"/>
      <c r="M53" s="174">
        <f t="shared" si="7"/>
        <v>73</v>
      </c>
      <c r="N53" s="15"/>
      <c r="O53" s="68"/>
      <c r="P53" s="191"/>
      <c r="Q53" s="68">
        <f t="shared" si="1"/>
        <v>0</v>
      </c>
      <c r="R53" s="69"/>
      <c r="S53" s="70"/>
      <c r="T53" s="102">
        <f t="shared" si="8"/>
        <v>2032.5000000000034</v>
      </c>
      <c r="U53" s="17">
        <f t="shared" si="3"/>
        <v>0</v>
      </c>
    </row>
    <row r="54" spans="1:21" x14ac:dyDescent="0.25">
      <c r="A54" s="118"/>
      <c r="B54" s="174">
        <f t="shared" si="4"/>
        <v>0</v>
      </c>
      <c r="C54" s="15"/>
      <c r="D54" s="68"/>
      <c r="E54" s="191"/>
      <c r="F54" s="68">
        <f t="shared" si="5"/>
        <v>0</v>
      </c>
      <c r="G54" s="69"/>
      <c r="H54" s="70"/>
      <c r="I54" s="102">
        <f t="shared" si="6"/>
        <v>-30.590000000001055</v>
      </c>
      <c r="J54" s="17">
        <f t="shared" si="2"/>
        <v>0</v>
      </c>
      <c r="L54" s="118"/>
      <c r="M54" s="174">
        <f t="shared" si="7"/>
        <v>73</v>
      </c>
      <c r="N54" s="15"/>
      <c r="O54" s="68"/>
      <c r="P54" s="191"/>
      <c r="Q54" s="68">
        <f t="shared" si="1"/>
        <v>0</v>
      </c>
      <c r="R54" s="69"/>
      <c r="S54" s="70"/>
      <c r="T54" s="102">
        <f t="shared" si="8"/>
        <v>2032.5000000000034</v>
      </c>
      <c r="U54" s="17">
        <f t="shared" si="3"/>
        <v>0</v>
      </c>
    </row>
    <row r="55" spans="1:21" x14ac:dyDescent="0.25">
      <c r="A55" s="118"/>
      <c r="B55" s="174">
        <f t="shared" si="4"/>
        <v>0</v>
      </c>
      <c r="C55" s="15"/>
      <c r="D55" s="68"/>
      <c r="E55" s="191"/>
      <c r="F55" s="68">
        <f t="shared" si="5"/>
        <v>0</v>
      </c>
      <c r="G55" s="69"/>
      <c r="H55" s="70"/>
      <c r="I55" s="102">
        <f t="shared" si="6"/>
        <v>-30.590000000001055</v>
      </c>
      <c r="J55" s="17">
        <f t="shared" si="2"/>
        <v>0</v>
      </c>
      <c r="L55" s="118"/>
      <c r="M55" s="174">
        <f t="shared" si="7"/>
        <v>73</v>
      </c>
      <c r="N55" s="15"/>
      <c r="O55" s="68"/>
      <c r="P55" s="191"/>
      <c r="Q55" s="68">
        <f t="shared" si="1"/>
        <v>0</v>
      </c>
      <c r="R55" s="69"/>
      <c r="S55" s="70"/>
      <c r="T55" s="102">
        <f t="shared" si="8"/>
        <v>2032.5000000000034</v>
      </c>
      <c r="U55" s="17">
        <f t="shared" si="3"/>
        <v>0</v>
      </c>
    </row>
    <row r="56" spans="1:21" x14ac:dyDescent="0.25">
      <c r="A56" s="118"/>
      <c r="B56" s="174">
        <f t="shared" si="4"/>
        <v>0</v>
      </c>
      <c r="C56" s="15"/>
      <c r="D56" s="68"/>
      <c r="E56" s="191"/>
      <c r="F56" s="68">
        <f t="shared" si="5"/>
        <v>0</v>
      </c>
      <c r="G56" s="69"/>
      <c r="H56" s="70"/>
      <c r="I56" s="102">
        <f t="shared" si="6"/>
        <v>-30.590000000001055</v>
      </c>
      <c r="J56" s="17">
        <f t="shared" si="2"/>
        <v>0</v>
      </c>
      <c r="L56" s="118"/>
      <c r="M56" s="174">
        <f t="shared" si="7"/>
        <v>73</v>
      </c>
      <c r="N56" s="15"/>
      <c r="O56" s="68"/>
      <c r="P56" s="191"/>
      <c r="Q56" s="68">
        <f t="shared" si="1"/>
        <v>0</v>
      </c>
      <c r="R56" s="69"/>
      <c r="S56" s="70"/>
      <c r="T56" s="102">
        <f t="shared" si="8"/>
        <v>2032.5000000000034</v>
      </c>
      <c r="U56" s="17">
        <f t="shared" si="3"/>
        <v>0</v>
      </c>
    </row>
    <row r="57" spans="1:21" x14ac:dyDescent="0.25">
      <c r="A57" s="118"/>
      <c r="B57" s="174">
        <f t="shared" si="4"/>
        <v>0</v>
      </c>
      <c r="C57" s="15"/>
      <c r="D57" s="68"/>
      <c r="E57" s="191"/>
      <c r="F57" s="68">
        <f t="shared" si="5"/>
        <v>0</v>
      </c>
      <c r="G57" s="69"/>
      <c r="H57" s="70"/>
      <c r="I57" s="102">
        <f t="shared" si="6"/>
        <v>-30.590000000001055</v>
      </c>
      <c r="J57" s="17">
        <f t="shared" si="2"/>
        <v>0</v>
      </c>
      <c r="L57" s="118"/>
      <c r="M57" s="174">
        <f t="shared" si="7"/>
        <v>73</v>
      </c>
      <c r="N57" s="15"/>
      <c r="O57" s="68"/>
      <c r="P57" s="191"/>
      <c r="Q57" s="68">
        <f t="shared" si="1"/>
        <v>0</v>
      </c>
      <c r="R57" s="69"/>
      <c r="S57" s="70"/>
      <c r="T57" s="102">
        <f t="shared" si="8"/>
        <v>2032.5000000000034</v>
      </c>
      <c r="U57" s="17">
        <f t="shared" si="3"/>
        <v>0</v>
      </c>
    </row>
    <row r="58" spans="1:21" x14ac:dyDescent="0.25">
      <c r="A58" s="118"/>
      <c r="B58" s="174">
        <f t="shared" si="4"/>
        <v>0</v>
      </c>
      <c r="C58" s="15"/>
      <c r="D58" s="68"/>
      <c r="E58" s="191"/>
      <c r="F58" s="68">
        <v>0</v>
      </c>
      <c r="G58" s="69"/>
      <c r="H58" s="70"/>
      <c r="I58" s="102">
        <f t="shared" si="6"/>
        <v>-30.590000000001055</v>
      </c>
      <c r="J58" s="17">
        <f t="shared" si="2"/>
        <v>0</v>
      </c>
      <c r="L58" s="118"/>
      <c r="M58" s="174">
        <f t="shared" si="7"/>
        <v>73</v>
      </c>
      <c r="N58" s="15"/>
      <c r="O58" s="68"/>
      <c r="P58" s="191"/>
      <c r="Q58" s="68">
        <v>0</v>
      </c>
      <c r="R58" s="69"/>
      <c r="S58" s="70"/>
      <c r="T58" s="102">
        <f t="shared" si="8"/>
        <v>2032.5000000000034</v>
      </c>
      <c r="U58" s="17">
        <f t="shared" si="3"/>
        <v>0</v>
      </c>
    </row>
    <row r="59" spans="1:21" x14ac:dyDescent="0.25">
      <c r="A59" s="118"/>
      <c r="B59" s="174">
        <f t="shared" si="4"/>
        <v>0</v>
      </c>
      <c r="C59" s="15"/>
      <c r="D59" s="68"/>
      <c r="E59" s="191"/>
      <c r="F59" s="68">
        <f t="shared" ref="F59:F74" si="9">D59</f>
        <v>0</v>
      </c>
      <c r="G59" s="69"/>
      <c r="H59" s="70"/>
      <c r="I59" s="102">
        <f t="shared" si="6"/>
        <v>-30.590000000001055</v>
      </c>
      <c r="J59" s="17">
        <f t="shared" si="2"/>
        <v>0</v>
      </c>
      <c r="L59" s="118"/>
      <c r="M59" s="174">
        <f t="shared" si="7"/>
        <v>73</v>
      </c>
      <c r="N59" s="15"/>
      <c r="O59" s="68"/>
      <c r="P59" s="191"/>
      <c r="Q59" s="68">
        <f t="shared" ref="Q59:Q74" si="10">O59</f>
        <v>0</v>
      </c>
      <c r="R59" s="69"/>
      <c r="S59" s="70"/>
      <c r="T59" s="102">
        <f t="shared" si="8"/>
        <v>2032.5000000000034</v>
      </c>
      <c r="U59" s="17">
        <f t="shared" si="3"/>
        <v>0</v>
      </c>
    </row>
    <row r="60" spans="1:21" x14ac:dyDescent="0.25">
      <c r="A60" s="118"/>
      <c r="B60" s="174">
        <f t="shared" si="4"/>
        <v>0</v>
      </c>
      <c r="C60" s="15"/>
      <c r="D60" s="68"/>
      <c r="E60" s="191"/>
      <c r="F60" s="68">
        <f t="shared" si="9"/>
        <v>0</v>
      </c>
      <c r="G60" s="69"/>
      <c r="H60" s="70"/>
      <c r="I60" s="102">
        <f t="shared" si="6"/>
        <v>-30.590000000001055</v>
      </c>
      <c r="J60" s="17">
        <f t="shared" si="2"/>
        <v>0</v>
      </c>
      <c r="L60" s="118"/>
      <c r="M60" s="174">
        <f t="shared" si="7"/>
        <v>73</v>
      </c>
      <c r="N60" s="15"/>
      <c r="O60" s="68"/>
      <c r="P60" s="191"/>
      <c r="Q60" s="68">
        <f t="shared" si="10"/>
        <v>0</v>
      </c>
      <c r="R60" s="69"/>
      <c r="S60" s="70"/>
      <c r="T60" s="102">
        <f t="shared" si="8"/>
        <v>2032.5000000000034</v>
      </c>
      <c r="U60" s="17">
        <f t="shared" si="3"/>
        <v>0</v>
      </c>
    </row>
    <row r="61" spans="1:21" x14ac:dyDescent="0.25">
      <c r="A61" s="118"/>
      <c r="B61" s="174">
        <f t="shared" si="4"/>
        <v>0</v>
      </c>
      <c r="C61" s="15"/>
      <c r="D61" s="68"/>
      <c r="E61" s="191"/>
      <c r="F61" s="68">
        <f t="shared" si="9"/>
        <v>0</v>
      </c>
      <c r="G61" s="69"/>
      <c r="H61" s="70"/>
      <c r="I61" s="102">
        <f t="shared" si="6"/>
        <v>-30.590000000001055</v>
      </c>
      <c r="J61" s="17">
        <f t="shared" si="2"/>
        <v>0</v>
      </c>
      <c r="L61" s="118"/>
      <c r="M61" s="174">
        <f t="shared" si="7"/>
        <v>73</v>
      </c>
      <c r="N61" s="15"/>
      <c r="O61" s="68"/>
      <c r="P61" s="191"/>
      <c r="Q61" s="68">
        <f t="shared" si="10"/>
        <v>0</v>
      </c>
      <c r="R61" s="69"/>
      <c r="S61" s="70"/>
      <c r="T61" s="102">
        <f t="shared" si="8"/>
        <v>2032.5000000000034</v>
      </c>
      <c r="U61" s="17">
        <f t="shared" si="3"/>
        <v>0</v>
      </c>
    </row>
    <row r="62" spans="1:21" x14ac:dyDescent="0.25">
      <c r="A62" s="118"/>
      <c r="B62" s="174">
        <f t="shared" si="4"/>
        <v>0</v>
      </c>
      <c r="C62" s="15"/>
      <c r="D62" s="68"/>
      <c r="E62" s="191"/>
      <c r="F62" s="68">
        <f t="shared" si="9"/>
        <v>0</v>
      </c>
      <c r="G62" s="69"/>
      <c r="H62" s="70"/>
      <c r="I62" s="102">
        <f t="shared" si="6"/>
        <v>-30.590000000001055</v>
      </c>
      <c r="J62" s="17">
        <f t="shared" si="2"/>
        <v>0</v>
      </c>
      <c r="L62" s="118"/>
      <c r="M62" s="174">
        <f t="shared" si="7"/>
        <v>73</v>
      </c>
      <c r="N62" s="15"/>
      <c r="O62" s="68"/>
      <c r="P62" s="191"/>
      <c r="Q62" s="68">
        <f t="shared" si="10"/>
        <v>0</v>
      </c>
      <c r="R62" s="69"/>
      <c r="S62" s="70"/>
      <c r="T62" s="102">
        <f t="shared" si="8"/>
        <v>2032.5000000000034</v>
      </c>
      <c r="U62" s="17">
        <f t="shared" si="3"/>
        <v>0</v>
      </c>
    </row>
    <row r="63" spans="1:21" x14ac:dyDescent="0.25">
      <c r="A63" s="118"/>
      <c r="B63" s="174">
        <f t="shared" si="4"/>
        <v>0</v>
      </c>
      <c r="C63" s="15"/>
      <c r="D63" s="68"/>
      <c r="E63" s="191"/>
      <c r="F63" s="68">
        <f t="shared" si="9"/>
        <v>0</v>
      </c>
      <c r="G63" s="69"/>
      <c r="H63" s="70"/>
      <c r="I63" s="102">
        <f t="shared" si="6"/>
        <v>-30.590000000001055</v>
      </c>
      <c r="J63" s="17">
        <f t="shared" si="2"/>
        <v>0</v>
      </c>
      <c r="L63" s="118"/>
      <c r="M63" s="174">
        <f t="shared" si="7"/>
        <v>73</v>
      </c>
      <c r="N63" s="15"/>
      <c r="O63" s="68"/>
      <c r="P63" s="191"/>
      <c r="Q63" s="68">
        <f t="shared" si="10"/>
        <v>0</v>
      </c>
      <c r="R63" s="69"/>
      <c r="S63" s="70"/>
      <c r="T63" s="102">
        <f t="shared" si="8"/>
        <v>2032.5000000000034</v>
      </c>
      <c r="U63" s="17">
        <f t="shared" si="3"/>
        <v>0</v>
      </c>
    </row>
    <row r="64" spans="1:21" x14ac:dyDescent="0.25">
      <c r="A64" s="118"/>
      <c r="B64" s="174">
        <f t="shared" si="4"/>
        <v>0</v>
      </c>
      <c r="C64" s="15"/>
      <c r="D64" s="68"/>
      <c r="E64" s="191"/>
      <c r="F64" s="68">
        <f t="shared" si="9"/>
        <v>0</v>
      </c>
      <c r="G64" s="69"/>
      <c r="H64" s="70"/>
      <c r="I64" s="102">
        <f t="shared" si="6"/>
        <v>-30.590000000001055</v>
      </c>
      <c r="J64" s="17">
        <f t="shared" si="2"/>
        <v>0</v>
      </c>
      <c r="L64" s="118"/>
      <c r="M64" s="174">
        <f t="shared" si="7"/>
        <v>73</v>
      </c>
      <c r="N64" s="15"/>
      <c r="O64" s="68"/>
      <c r="P64" s="191"/>
      <c r="Q64" s="68">
        <f t="shared" si="10"/>
        <v>0</v>
      </c>
      <c r="R64" s="69"/>
      <c r="S64" s="70"/>
      <c r="T64" s="102">
        <f t="shared" si="8"/>
        <v>2032.5000000000034</v>
      </c>
      <c r="U64" s="17">
        <f t="shared" si="3"/>
        <v>0</v>
      </c>
    </row>
    <row r="65" spans="1:21" x14ac:dyDescent="0.25">
      <c r="A65" s="118"/>
      <c r="B65" s="174">
        <f t="shared" si="4"/>
        <v>0</v>
      </c>
      <c r="C65" s="15"/>
      <c r="D65" s="68"/>
      <c r="E65" s="191"/>
      <c r="F65" s="68">
        <f t="shared" si="9"/>
        <v>0</v>
      </c>
      <c r="G65" s="69"/>
      <c r="H65" s="70"/>
      <c r="I65" s="102">
        <f t="shared" si="6"/>
        <v>-30.590000000001055</v>
      </c>
      <c r="J65" s="17">
        <f t="shared" si="2"/>
        <v>0</v>
      </c>
      <c r="L65" s="118"/>
      <c r="M65" s="174">
        <f t="shared" si="7"/>
        <v>73</v>
      </c>
      <c r="N65" s="15"/>
      <c r="O65" s="68"/>
      <c r="P65" s="191"/>
      <c r="Q65" s="68">
        <f t="shared" si="10"/>
        <v>0</v>
      </c>
      <c r="R65" s="69"/>
      <c r="S65" s="70"/>
      <c r="T65" s="102">
        <f t="shared" si="8"/>
        <v>2032.5000000000034</v>
      </c>
      <c r="U65" s="17">
        <f t="shared" si="3"/>
        <v>0</v>
      </c>
    </row>
    <row r="66" spans="1:21" x14ac:dyDescent="0.25">
      <c r="A66" s="118"/>
      <c r="B66" s="174">
        <f t="shared" si="4"/>
        <v>0</v>
      </c>
      <c r="C66" s="15"/>
      <c r="D66" s="68"/>
      <c r="E66" s="191"/>
      <c r="F66" s="68">
        <f t="shared" si="9"/>
        <v>0</v>
      </c>
      <c r="G66" s="69"/>
      <c r="H66" s="70"/>
      <c r="I66" s="102">
        <f t="shared" si="6"/>
        <v>-30.590000000001055</v>
      </c>
      <c r="J66" s="17">
        <f t="shared" si="2"/>
        <v>0</v>
      </c>
      <c r="L66" s="118"/>
      <c r="M66" s="174">
        <f t="shared" si="7"/>
        <v>73</v>
      </c>
      <c r="N66" s="15"/>
      <c r="O66" s="68"/>
      <c r="P66" s="191"/>
      <c r="Q66" s="68">
        <f t="shared" si="10"/>
        <v>0</v>
      </c>
      <c r="R66" s="69"/>
      <c r="S66" s="70"/>
      <c r="T66" s="102">
        <f t="shared" si="8"/>
        <v>2032.5000000000034</v>
      </c>
      <c r="U66" s="17">
        <f t="shared" si="3"/>
        <v>0</v>
      </c>
    </row>
    <row r="67" spans="1:21" x14ac:dyDescent="0.25">
      <c r="A67" s="118"/>
      <c r="B67" s="174">
        <f t="shared" si="4"/>
        <v>0</v>
      </c>
      <c r="C67" s="15"/>
      <c r="D67" s="68"/>
      <c r="E67" s="191"/>
      <c r="F67" s="68">
        <f t="shared" si="9"/>
        <v>0</v>
      </c>
      <c r="G67" s="69"/>
      <c r="H67" s="70"/>
      <c r="I67" s="102">
        <f t="shared" si="6"/>
        <v>-30.590000000001055</v>
      </c>
      <c r="J67" s="17">
        <f t="shared" si="2"/>
        <v>0</v>
      </c>
      <c r="L67" s="118"/>
      <c r="M67" s="174">
        <f t="shared" si="7"/>
        <v>73</v>
      </c>
      <c r="N67" s="15"/>
      <c r="O67" s="68"/>
      <c r="P67" s="191"/>
      <c r="Q67" s="68">
        <f t="shared" si="10"/>
        <v>0</v>
      </c>
      <c r="R67" s="69"/>
      <c r="S67" s="70"/>
      <c r="T67" s="102">
        <f t="shared" si="8"/>
        <v>2032.5000000000034</v>
      </c>
      <c r="U67" s="17">
        <f t="shared" si="3"/>
        <v>0</v>
      </c>
    </row>
    <row r="68" spans="1:21" x14ac:dyDescent="0.25">
      <c r="A68" s="118"/>
      <c r="B68" s="174">
        <f t="shared" si="4"/>
        <v>0</v>
      </c>
      <c r="C68" s="15"/>
      <c r="D68" s="68"/>
      <c r="E68" s="191"/>
      <c r="F68" s="68">
        <f t="shared" si="9"/>
        <v>0</v>
      </c>
      <c r="G68" s="69"/>
      <c r="H68" s="70"/>
      <c r="I68" s="102">
        <f t="shared" si="6"/>
        <v>-30.590000000001055</v>
      </c>
      <c r="J68" s="17">
        <f t="shared" si="2"/>
        <v>0</v>
      </c>
      <c r="L68" s="118"/>
      <c r="M68" s="174">
        <f t="shared" si="7"/>
        <v>73</v>
      </c>
      <c r="N68" s="15"/>
      <c r="O68" s="68"/>
      <c r="P68" s="191"/>
      <c r="Q68" s="68">
        <f t="shared" si="10"/>
        <v>0</v>
      </c>
      <c r="R68" s="69"/>
      <c r="S68" s="70"/>
      <c r="T68" s="102">
        <f t="shared" si="8"/>
        <v>2032.5000000000034</v>
      </c>
      <c r="U68" s="17">
        <f t="shared" si="3"/>
        <v>0</v>
      </c>
    </row>
    <row r="69" spans="1:21" x14ac:dyDescent="0.25">
      <c r="A69" s="118"/>
      <c r="B69" s="174">
        <f t="shared" si="4"/>
        <v>0</v>
      </c>
      <c r="C69" s="15"/>
      <c r="D69" s="68"/>
      <c r="E69" s="191"/>
      <c r="F69" s="68">
        <f t="shared" si="9"/>
        <v>0</v>
      </c>
      <c r="G69" s="69"/>
      <c r="H69" s="70"/>
      <c r="I69" s="102">
        <f t="shared" si="6"/>
        <v>-30.590000000001055</v>
      </c>
      <c r="J69" s="17">
        <f t="shared" si="2"/>
        <v>0</v>
      </c>
      <c r="L69" s="118"/>
      <c r="M69" s="174">
        <f t="shared" si="7"/>
        <v>73</v>
      </c>
      <c r="N69" s="15"/>
      <c r="O69" s="68"/>
      <c r="P69" s="191"/>
      <c r="Q69" s="68">
        <f t="shared" si="10"/>
        <v>0</v>
      </c>
      <c r="R69" s="69"/>
      <c r="S69" s="70"/>
      <c r="T69" s="102">
        <f t="shared" si="8"/>
        <v>2032.5000000000034</v>
      </c>
      <c r="U69" s="17">
        <f t="shared" si="3"/>
        <v>0</v>
      </c>
    </row>
    <row r="70" spans="1:21" x14ac:dyDescent="0.25">
      <c r="A70" s="118"/>
      <c r="B70" s="174">
        <f t="shared" si="4"/>
        <v>0</v>
      </c>
      <c r="C70" s="15"/>
      <c r="D70" s="68"/>
      <c r="E70" s="191"/>
      <c r="F70" s="68">
        <f t="shared" si="9"/>
        <v>0</v>
      </c>
      <c r="G70" s="69"/>
      <c r="H70" s="70"/>
      <c r="I70" s="102">
        <f t="shared" si="6"/>
        <v>-30.590000000001055</v>
      </c>
      <c r="J70" s="17">
        <f t="shared" si="2"/>
        <v>0</v>
      </c>
      <c r="L70" s="118"/>
      <c r="M70" s="174">
        <f t="shared" si="7"/>
        <v>73</v>
      </c>
      <c r="N70" s="15"/>
      <c r="O70" s="68"/>
      <c r="P70" s="191"/>
      <c r="Q70" s="68">
        <f t="shared" si="10"/>
        <v>0</v>
      </c>
      <c r="R70" s="69"/>
      <c r="S70" s="70"/>
      <c r="T70" s="102">
        <f t="shared" si="8"/>
        <v>2032.5000000000034</v>
      </c>
      <c r="U70" s="17">
        <f t="shared" si="3"/>
        <v>0</v>
      </c>
    </row>
    <row r="71" spans="1:21" x14ac:dyDescent="0.25">
      <c r="A71" s="118"/>
      <c r="B71" s="174">
        <f t="shared" si="4"/>
        <v>0</v>
      </c>
      <c r="C71" s="15"/>
      <c r="D71" s="68"/>
      <c r="E71" s="191"/>
      <c r="F71" s="68">
        <f t="shared" si="9"/>
        <v>0</v>
      </c>
      <c r="G71" s="69"/>
      <c r="H71" s="70"/>
      <c r="I71" s="102">
        <f t="shared" si="6"/>
        <v>-30.590000000001055</v>
      </c>
      <c r="J71" s="17">
        <f t="shared" si="2"/>
        <v>0</v>
      </c>
      <c r="L71" s="118"/>
      <c r="M71" s="174">
        <f t="shared" si="7"/>
        <v>73</v>
      </c>
      <c r="N71" s="15"/>
      <c r="O71" s="68"/>
      <c r="P71" s="191"/>
      <c r="Q71" s="68">
        <f t="shared" si="10"/>
        <v>0</v>
      </c>
      <c r="R71" s="69"/>
      <c r="S71" s="70"/>
      <c r="T71" s="102">
        <f t="shared" si="8"/>
        <v>2032.5000000000034</v>
      </c>
      <c r="U71" s="17">
        <f t="shared" si="3"/>
        <v>0</v>
      </c>
    </row>
    <row r="72" spans="1:21" x14ac:dyDescent="0.25">
      <c r="A72" s="118"/>
      <c r="B72" s="174">
        <f t="shared" si="4"/>
        <v>0</v>
      </c>
      <c r="C72" s="15"/>
      <c r="D72" s="68"/>
      <c r="E72" s="191"/>
      <c r="F72" s="68">
        <f t="shared" si="9"/>
        <v>0</v>
      </c>
      <c r="G72" s="69"/>
      <c r="H72" s="70"/>
      <c r="I72" s="102">
        <f t="shared" si="6"/>
        <v>-30.590000000001055</v>
      </c>
      <c r="J72" s="17">
        <f t="shared" si="2"/>
        <v>0</v>
      </c>
      <c r="L72" s="118"/>
      <c r="M72" s="174">
        <f t="shared" si="7"/>
        <v>73</v>
      </c>
      <c r="N72" s="15"/>
      <c r="O72" s="68"/>
      <c r="P72" s="191"/>
      <c r="Q72" s="68">
        <f t="shared" si="10"/>
        <v>0</v>
      </c>
      <c r="R72" s="69"/>
      <c r="S72" s="70"/>
      <c r="T72" s="102">
        <f t="shared" si="8"/>
        <v>2032.5000000000034</v>
      </c>
      <c r="U72" s="17">
        <f t="shared" si="3"/>
        <v>0</v>
      </c>
    </row>
    <row r="73" spans="1:21" x14ac:dyDescent="0.25">
      <c r="A73" s="118"/>
      <c r="B73" s="174">
        <f t="shared" si="4"/>
        <v>0</v>
      </c>
      <c r="C73" s="15"/>
      <c r="D73" s="68"/>
      <c r="E73" s="191"/>
      <c r="F73" s="68">
        <f t="shared" si="9"/>
        <v>0</v>
      </c>
      <c r="G73" s="69"/>
      <c r="H73" s="70"/>
      <c r="I73" s="102">
        <f t="shared" si="6"/>
        <v>-30.590000000001055</v>
      </c>
      <c r="J73" s="17">
        <f t="shared" si="2"/>
        <v>0</v>
      </c>
      <c r="L73" s="118"/>
      <c r="M73" s="174">
        <f t="shared" si="7"/>
        <v>73</v>
      </c>
      <c r="N73" s="15"/>
      <c r="O73" s="68"/>
      <c r="P73" s="191"/>
      <c r="Q73" s="68">
        <f t="shared" si="10"/>
        <v>0</v>
      </c>
      <c r="R73" s="69"/>
      <c r="S73" s="70"/>
      <c r="T73" s="102">
        <f t="shared" si="8"/>
        <v>2032.5000000000034</v>
      </c>
      <c r="U73" s="17">
        <f t="shared" si="3"/>
        <v>0</v>
      </c>
    </row>
    <row r="74" spans="1:21" x14ac:dyDescent="0.25">
      <c r="A74" s="118"/>
      <c r="B74" s="174">
        <f t="shared" si="4"/>
        <v>0</v>
      </c>
      <c r="C74" s="15"/>
      <c r="D74" s="68"/>
      <c r="E74" s="191"/>
      <c r="F74" s="68">
        <f t="shared" si="9"/>
        <v>0</v>
      </c>
      <c r="G74" s="69"/>
      <c r="H74" s="70"/>
      <c r="I74" s="102">
        <f t="shared" si="6"/>
        <v>-30.590000000001055</v>
      </c>
      <c r="J74" s="17">
        <f t="shared" si="2"/>
        <v>0</v>
      </c>
      <c r="L74" s="118"/>
      <c r="M74" s="174">
        <f t="shared" si="7"/>
        <v>73</v>
      </c>
      <c r="N74" s="15"/>
      <c r="O74" s="68"/>
      <c r="P74" s="191"/>
      <c r="Q74" s="68">
        <f t="shared" si="10"/>
        <v>0</v>
      </c>
      <c r="R74" s="69"/>
      <c r="S74" s="70"/>
      <c r="T74" s="102">
        <f t="shared" si="8"/>
        <v>2032.5000000000034</v>
      </c>
      <c r="U74" s="17">
        <f t="shared" si="3"/>
        <v>0</v>
      </c>
    </row>
    <row r="75" spans="1:21" x14ac:dyDescent="0.25">
      <c r="A75" s="118"/>
      <c r="B75" s="174">
        <f t="shared" si="4"/>
        <v>0</v>
      </c>
      <c r="C75" s="15"/>
      <c r="D75" s="68"/>
      <c r="E75" s="191"/>
      <c r="F75" s="68">
        <f>D75</f>
        <v>0</v>
      </c>
      <c r="G75" s="69"/>
      <c r="H75" s="70"/>
      <c r="I75" s="102">
        <f t="shared" si="6"/>
        <v>-30.590000000001055</v>
      </c>
      <c r="J75" s="17">
        <f t="shared" ref="J75:J77" si="11">F75*H75</f>
        <v>0</v>
      </c>
      <c r="L75" s="118"/>
      <c r="M75" s="174">
        <f t="shared" si="7"/>
        <v>73</v>
      </c>
      <c r="N75" s="15"/>
      <c r="O75" s="68"/>
      <c r="P75" s="191"/>
      <c r="Q75" s="68">
        <f>O75</f>
        <v>0</v>
      </c>
      <c r="R75" s="69"/>
      <c r="S75" s="70"/>
      <c r="T75" s="102">
        <f t="shared" si="8"/>
        <v>2032.5000000000034</v>
      </c>
      <c r="U75" s="17">
        <f t="shared" ref="U75:U77" si="12">Q75*S75</f>
        <v>0</v>
      </c>
    </row>
    <row r="76" spans="1:21" x14ac:dyDescent="0.25">
      <c r="A76" s="118"/>
      <c r="B76" s="174">
        <f t="shared" ref="B76" si="13">B75-C76</f>
        <v>0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4">I75-F76</f>
        <v>-30.590000000001055</v>
      </c>
      <c r="J76" s="17">
        <f t="shared" si="11"/>
        <v>0</v>
      </c>
      <c r="L76" s="118"/>
      <c r="M76" s="174">
        <f t="shared" ref="M76" si="15">M75-N76</f>
        <v>73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6">T75-Q76</f>
        <v>2032.5000000000034</v>
      </c>
      <c r="U76" s="17">
        <f t="shared" si="12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4"/>
        <v>-30.590000000001055</v>
      </c>
      <c r="J77" s="17">
        <f t="shared" si="11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6"/>
        <v>2032.5000000000034</v>
      </c>
      <c r="U77" s="17">
        <f t="shared" si="12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401</v>
      </c>
      <c r="D79" s="6">
        <f>SUM(D10:D78)</f>
        <v>10888.969999999998</v>
      </c>
      <c r="F79" s="6">
        <f>SUM(F10:F78)</f>
        <v>10888.969999999998</v>
      </c>
      <c r="N79" s="53">
        <f>SUM(N10:N78)</f>
        <v>282</v>
      </c>
      <c r="O79" s="6">
        <f>SUM(O10:O78)</f>
        <v>7954.9299999999976</v>
      </c>
      <c r="Q79" s="6">
        <f>SUM(Q10:Q78)</f>
        <v>7954.9299999999976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73</v>
      </c>
    </row>
    <row r="83" spans="3:17" ht="15.75" thickBot="1" x14ac:dyDescent="0.3"/>
    <row r="84" spans="3:17" ht="15.75" thickBot="1" x14ac:dyDescent="0.3">
      <c r="C84" s="1665" t="s">
        <v>11</v>
      </c>
      <c r="D84" s="1666"/>
      <c r="E84" s="56">
        <f>E5+E6-F79+E7+E4</f>
        <v>-30.589999999997644</v>
      </c>
      <c r="F84" s="1146"/>
      <c r="N84" s="1665" t="s">
        <v>11</v>
      </c>
      <c r="O84" s="1666"/>
      <c r="P84" s="56">
        <f>P5+P6-Q79+P7+P4</f>
        <v>2032.500000000003</v>
      </c>
      <c r="Q84" s="1225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679"/>
      <c r="B5" s="1679"/>
      <c r="C5" s="216"/>
      <c r="D5" s="578"/>
      <c r="E5" s="644"/>
      <c r="F5" s="664"/>
      <c r="G5" s="5"/>
    </row>
    <row r="6" spans="1:10" x14ac:dyDescent="0.25">
      <c r="A6" s="1679"/>
      <c r="B6" s="1679"/>
      <c r="C6" s="362"/>
      <c r="D6" s="578"/>
      <c r="E6" s="713"/>
      <c r="F6" s="664"/>
      <c r="G6" s="47"/>
      <c r="H6" s="7">
        <f>E6-G6+E7+E5-G5</f>
        <v>0</v>
      </c>
    </row>
    <row r="7" spans="1:10" ht="15.75" thickBot="1" x14ac:dyDescent="0.3">
      <c r="A7" s="1679"/>
      <c r="B7" s="973"/>
      <c r="C7" s="1253"/>
      <c r="D7" s="712"/>
      <c r="E7" s="644"/>
      <c r="F7" s="664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91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10" x14ac:dyDescent="0.25">
      <c r="A10" s="1161"/>
      <c r="B10" s="792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  <c r="J10" s="594"/>
    </row>
    <row r="11" spans="1:10" x14ac:dyDescent="0.25">
      <c r="A11" s="670"/>
      <c r="B11" s="792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  <c r="J11" s="594"/>
    </row>
    <row r="12" spans="1:10" x14ac:dyDescent="0.25">
      <c r="A12" s="670"/>
      <c r="B12" s="792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  <c r="J12" s="594"/>
    </row>
    <row r="13" spans="1:10" x14ac:dyDescent="0.25">
      <c r="A13" s="923" t="s">
        <v>33</v>
      </c>
      <c r="B13" s="792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  <c r="J13" s="594"/>
    </row>
    <row r="14" spans="1:10" x14ac:dyDescent="0.25">
      <c r="A14" s="576"/>
      <c r="B14" s="792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  <c r="J14" s="594"/>
    </row>
    <row r="15" spans="1:10" x14ac:dyDescent="0.25">
      <c r="A15" s="576"/>
      <c r="B15" s="792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  <c r="J15" s="594"/>
    </row>
    <row r="16" spans="1:10" x14ac:dyDescent="0.25">
      <c r="A16" s="594"/>
      <c r="B16" s="792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  <c r="J16" s="594"/>
    </row>
    <row r="17" spans="1:10" x14ac:dyDescent="0.25">
      <c r="A17" s="594"/>
      <c r="B17" s="792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  <c r="J17" s="594"/>
    </row>
    <row r="18" spans="1:10" x14ac:dyDescent="0.25">
      <c r="B18" s="792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10" x14ac:dyDescent="0.25">
      <c r="B19" s="792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10" x14ac:dyDescent="0.25">
      <c r="B20" s="792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10" x14ac:dyDescent="0.25">
      <c r="A21" s="118"/>
      <c r="B21" s="792">
        <f t="shared" si="1"/>
        <v>0</v>
      </c>
      <c r="C21" s="793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10" x14ac:dyDescent="0.25">
      <c r="A22" s="118"/>
      <c r="B22" s="792">
        <f t="shared" si="1"/>
        <v>0</v>
      </c>
      <c r="C22" s="793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10" x14ac:dyDescent="0.25">
      <c r="A23" s="119"/>
      <c r="B23" s="792">
        <f t="shared" si="1"/>
        <v>0</v>
      </c>
      <c r="C23" s="793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10" x14ac:dyDescent="0.25">
      <c r="A24" s="118"/>
      <c r="B24" s="792">
        <f t="shared" si="1"/>
        <v>0</v>
      </c>
      <c r="C24" s="793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10" x14ac:dyDescent="0.25">
      <c r="A25" s="118"/>
      <c r="B25" s="792">
        <f t="shared" si="1"/>
        <v>0</v>
      </c>
      <c r="C25" s="793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10" x14ac:dyDescent="0.25">
      <c r="A26" s="118"/>
      <c r="B26" s="792">
        <f t="shared" si="1"/>
        <v>0</v>
      </c>
      <c r="C26" s="793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10" x14ac:dyDescent="0.25">
      <c r="A27" s="118"/>
      <c r="B27" s="792">
        <f t="shared" si="1"/>
        <v>0</v>
      </c>
      <c r="C27" s="793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10" x14ac:dyDescent="0.25">
      <c r="A28" s="118"/>
      <c r="B28" s="792">
        <f t="shared" si="1"/>
        <v>0</v>
      </c>
      <c r="C28" s="793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10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10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10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10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999"/>
      <c r="E34" s="1254"/>
      <c r="F34" s="725"/>
      <c r="G34" s="727"/>
      <c r="H34" s="564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0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665" t="s">
        <v>11</v>
      </c>
      <c r="D40" s="1666"/>
      <c r="E40" s="56">
        <f>E5+E6-F35+E7</f>
        <v>0</v>
      </c>
      <c r="F40" s="1155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667" t="s">
        <v>52</v>
      </c>
      <c r="B5" s="1680" t="s">
        <v>90</v>
      </c>
      <c r="C5" s="216"/>
      <c r="D5" s="130"/>
      <c r="E5" s="77"/>
      <c r="F5" s="61"/>
      <c r="G5" s="5"/>
    </row>
    <row r="6" spans="1:9" x14ac:dyDescent="0.25">
      <c r="A6" s="1667"/>
      <c r="B6" s="1680"/>
      <c r="C6" s="362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667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91">
        <f>F4+F5+F6+F7-C9</f>
        <v>0</v>
      </c>
      <c r="C9" s="624"/>
      <c r="D9" s="565"/>
      <c r="E9" s="592"/>
      <c r="F9" s="565">
        <f t="shared" ref="F9:F33" si="0">D9</f>
        <v>0</v>
      </c>
      <c r="G9" s="563"/>
      <c r="H9" s="564"/>
      <c r="I9" s="596">
        <f>E6-F9+E5+E7</f>
        <v>0</v>
      </c>
    </row>
    <row r="10" spans="1:9" x14ac:dyDescent="0.25">
      <c r="A10" s="185"/>
      <c r="B10" s="792">
        <f>B9-C10</f>
        <v>0</v>
      </c>
      <c r="C10" s="624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792">
        <f t="shared" ref="B11:B33" si="1"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6">
        <f t="shared" ref="I11:I33" si="2">I10-F11</f>
        <v>0</v>
      </c>
    </row>
    <row r="12" spans="1:9" x14ac:dyDescent="0.25">
      <c r="A12" s="174"/>
      <c r="B12" s="792">
        <f t="shared" si="1"/>
        <v>0</v>
      </c>
      <c r="C12" s="624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792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792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792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792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792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B18" s="792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B19" s="792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B20" s="792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792">
        <f t="shared" si="1"/>
        <v>0</v>
      </c>
      <c r="C21" s="793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92">
        <f t="shared" si="1"/>
        <v>0</v>
      </c>
      <c r="C22" s="793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92">
        <f t="shared" si="1"/>
        <v>0</v>
      </c>
      <c r="C23" s="793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92">
        <f t="shared" si="1"/>
        <v>0</v>
      </c>
      <c r="C24" s="793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92">
        <f t="shared" si="1"/>
        <v>0</v>
      </c>
      <c r="C25" s="793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792">
        <f t="shared" si="1"/>
        <v>0</v>
      </c>
      <c r="C26" s="793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92">
        <f t="shared" si="1"/>
        <v>0</v>
      </c>
      <c r="C27" s="793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792">
        <f t="shared" si="1"/>
        <v>0</v>
      </c>
      <c r="C28" s="793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28">
        <f t="shared" si="1"/>
        <v>0</v>
      </c>
      <c r="C29" s="453"/>
      <c r="D29" s="68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728">
        <f t="shared" si="1"/>
        <v>0</v>
      </c>
      <c r="C30" s="453"/>
      <c r="D30" s="68"/>
      <c r="E30" s="592"/>
      <c r="F30" s="565">
        <f t="shared" si="0"/>
        <v>0</v>
      </c>
      <c r="G30" s="563"/>
      <c r="H30" s="564"/>
      <c r="I30" s="596">
        <f t="shared" si="2"/>
        <v>0</v>
      </c>
    </row>
    <row r="31" spans="1:9" x14ac:dyDescent="0.25">
      <c r="A31" s="118"/>
      <c r="B31" s="728">
        <f t="shared" si="1"/>
        <v>0</v>
      </c>
      <c r="C31" s="453"/>
      <c r="D31" s="68"/>
      <c r="E31" s="592"/>
      <c r="F31" s="565">
        <f t="shared" si="0"/>
        <v>0</v>
      </c>
      <c r="G31" s="563"/>
      <c r="H31" s="564"/>
      <c r="I31" s="596">
        <f t="shared" si="2"/>
        <v>0</v>
      </c>
    </row>
    <row r="32" spans="1:9" x14ac:dyDescent="0.25">
      <c r="A32" s="118"/>
      <c r="B32" s="728">
        <f t="shared" si="1"/>
        <v>0</v>
      </c>
      <c r="C32" s="453"/>
      <c r="D32" s="68"/>
      <c r="E32" s="592"/>
      <c r="F32" s="565">
        <f t="shared" si="0"/>
        <v>0</v>
      </c>
      <c r="G32" s="563"/>
      <c r="H32" s="564"/>
      <c r="I32" s="596">
        <f t="shared" si="2"/>
        <v>0</v>
      </c>
    </row>
    <row r="33" spans="1:9" x14ac:dyDescent="0.25">
      <c r="A33" s="118"/>
      <c r="B33" s="728">
        <f t="shared" si="1"/>
        <v>0</v>
      </c>
      <c r="C33" s="15"/>
      <c r="D33" s="68"/>
      <c r="E33" s="592"/>
      <c r="F33" s="565">
        <f t="shared" si="0"/>
        <v>0</v>
      </c>
      <c r="G33" s="563"/>
      <c r="H33" s="564"/>
      <c r="I33" s="596">
        <f t="shared" si="2"/>
        <v>0</v>
      </c>
    </row>
    <row r="34" spans="1:9" ht="15.75" thickBot="1" x14ac:dyDescent="0.3">
      <c r="A34" s="118"/>
      <c r="B34" s="729"/>
      <c r="C34" s="52"/>
      <c r="D34" s="1076"/>
      <c r="E34" s="1077"/>
      <c r="F34" s="1078"/>
      <c r="G34" s="1079"/>
      <c r="H34" s="804"/>
      <c r="I34" s="753"/>
    </row>
    <row r="35" spans="1:9" ht="15.75" x14ac:dyDescent="0.25">
      <c r="C35" s="53">
        <f>SUM(C9:C34)</f>
        <v>0</v>
      </c>
      <c r="D35" s="454">
        <f>SUM(D9:D34)</f>
        <v>0</v>
      </c>
      <c r="E35" s="594"/>
      <c r="F35" s="657">
        <f>SUM(F9:F34)</f>
        <v>0</v>
      </c>
      <c r="G35" s="594"/>
      <c r="H35" s="594"/>
      <c r="I35" s="753"/>
    </row>
    <row r="36" spans="1:9" x14ac:dyDescent="0.25">
      <c r="E36" s="594"/>
      <c r="F36" s="594"/>
      <c r="G36" s="594"/>
      <c r="H36" s="594"/>
      <c r="I36" s="753"/>
    </row>
    <row r="37" spans="1:9" ht="15.75" thickBot="1" x14ac:dyDescent="0.3">
      <c r="E37" s="594"/>
      <c r="F37" s="594"/>
      <c r="G37" s="594"/>
      <c r="H37" s="594"/>
      <c r="I37" s="753"/>
    </row>
    <row r="38" spans="1:9" ht="15.75" thickBot="1" x14ac:dyDescent="0.3">
      <c r="D38" s="45" t="s">
        <v>4</v>
      </c>
      <c r="E38" s="930">
        <f>F5+F6-C35+F7</f>
        <v>0</v>
      </c>
      <c r="F38" s="594"/>
      <c r="G38" s="594"/>
      <c r="H38" s="594"/>
      <c r="I38" s="753"/>
    </row>
    <row r="39" spans="1:9" ht="15.75" thickBot="1" x14ac:dyDescent="0.3"/>
    <row r="40" spans="1:9" ht="15.75" thickBot="1" x14ac:dyDescent="0.3">
      <c r="C40" s="1665" t="s">
        <v>11</v>
      </c>
      <c r="D40" s="1666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667"/>
      <c r="B5" s="1681" t="s">
        <v>114</v>
      </c>
      <c r="C5" s="363"/>
      <c r="D5" s="215"/>
      <c r="E5" s="891"/>
      <c r="F5" s="61"/>
      <c r="G5" s="5"/>
      <c r="H5" t="s">
        <v>41</v>
      </c>
    </row>
    <row r="6" spans="1:10" ht="15.75" x14ac:dyDescent="0.25">
      <c r="A6" s="1667"/>
      <c r="B6" s="1681"/>
      <c r="C6" s="428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87" t="s">
        <v>2</v>
      </c>
      <c r="F9" s="788" t="s">
        <v>9</v>
      </c>
      <c r="G9" s="789" t="s">
        <v>15</v>
      </c>
      <c r="H9" s="790"/>
      <c r="I9" s="594"/>
    </row>
    <row r="10" spans="1:10" ht="15.75" thickTop="1" x14ac:dyDescent="0.25">
      <c r="A10" s="79" t="s">
        <v>32</v>
      </c>
      <c r="B10" s="221">
        <f>F4+F5+F6+F7-C10+F8</f>
        <v>0</v>
      </c>
      <c r="C10" s="15"/>
      <c r="D10" s="68"/>
      <c r="E10" s="592"/>
      <c r="F10" s="565">
        <f t="shared" ref="F10:F33" si="0">D10</f>
        <v>0</v>
      </c>
      <c r="G10" s="563"/>
      <c r="H10" s="564"/>
      <c r="I10" s="593">
        <f>E4+E5+E6+E7-F10+E8</f>
        <v>0</v>
      </c>
      <c r="J10" s="594"/>
    </row>
    <row r="11" spans="1:10" x14ac:dyDescent="0.25">
      <c r="A11" s="185"/>
      <c r="B11" s="221">
        <f>B10-C11</f>
        <v>0</v>
      </c>
      <c r="C11" s="15"/>
      <c r="D11" s="68"/>
      <c r="E11" s="592"/>
      <c r="F11" s="565">
        <f t="shared" si="0"/>
        <v>0</v>
      </c>
      <c r="G11" s="563"/>
      <c r="H11" s="564"/>
      <c r="I11" s="593">
        <f>I10-F11</f>
        <v>0</v>
      </c>
      <c r="J11" s="594"/>
    </row>
    <row r="12" spans="1:10" x14ac:dyDescent="0.25">
      <c r="A12" s="174"/>
      <c r="B12" s="221">
        <f t="shared" ref="B12:B28" si="1">B11-C12</f>
        <v>0</v>
      </c>
      <c r="C12" s="15"/>
      <c r="D12" s="68"/>
      <c r="E12" s="592"/>
      <c r="F12" s="565">
        <f t="shared" si="0"/>
        <v>0</v>
      </c>
      <c r="G12" s="563"/>
      <c r="H12" s="564"/>
      <c r="I12" s="593">
        <f t="shared" ref="I12:I30" si="2">I11-F12</f>
        <v>0</v>
      </c>
      <c r="J12" s="594"/>
    </row>
    <row r="13" spans="1:10" x14ac:dyDescent="0.25">
      <c r="A13" s="81" t="s">
        <v>33</v>
      </c>
      <c r="B13" s="221">
        <f t="shared" si="1"/>
        <v>0</v>
      </c>
      <c r="C13" s="15"/>
      <c r="D13" s="68"/>
      <c r="E13" s="592"/>
      <c r="F13" s="565">
        <f t="shared" si="0"/>
        <v>0</v>
      </c>
      <c r="G13" s="563"/>
      <c r="H13" s="564"/>
      <c r="I13" s="593">
        <f t="shared" si="2"/>
        <v>0</v>
      </c>
      <c r="J13" s="594"/>
    </row>
    <row r="14" spans="1:10" x14ac:dyDescent="0.25">
      <c r="A14" s="72"/>
      <c r="B14" s="221">
        <f t="shared" si="1"/>
        <v>0</v>
      </c>
      <c r="C14" s="15"/>
      <c r="D14" s="68"/>
      <c r="E14" s="592"/>
      <c r="F14" s="565">
        <f t="shared" si="0"/>
        <v>0</v>
      </c>
      <c r="G14" s="563"/>
      <c r="H14" s="564"/>
      <c r="I14" s="593">
        <f t="shared" si="2"/>
        <v>0</v>
      </c>
      <c r="J14" s="594"/>
    </row>
    <row r="15" spans="1:10" x14ac:dyDescent="0.25">
      <c r="A15" s="72"/>
      <c r="B15" s="221">
        <f t="shared" si="1"/>
        <v>0</v>
      </c>
      <c r="C15" s="15"/>
      <c r="D15" s="68"/>
      <c r="E15" s="592"/>
      <c r="F15" s="565">
        <f t="shared" si="0"/>
        <v>0</v>
      </c>
      <c r="G15" s="563"/>
      <c r="H15" s="564"/>
      <c r="I15" s="593">
        <f t="shared" si="2"/>
        <v>0</v>
      </c>
      <c r="J15" s="594"/>
    </row>
    <row r="16" spans="1:10" x14ac:dyDescent="0.25">
      <c r="B16" s="221">
        <f t="shared" si="1"/>
        <v>0</v>
      </c>
      <c r="C16" s="15"/>
      <c r="D16" s="68"/>
      <c r="E16" s="592"/>
      <c r="F16" s="565">
        <f t="shared" si="0"/>
        <v>0</v>
      </c>
      <c r="G16" s="563"/>
      <c r="H16" s="564"/>
      <c r="I16" s="593">
        <f t="shared" si="2"/>
        <v>0</v>
      </c>
      <c r="J16" s="594"/>
    </row>
    <row r="17" spans="1:10" x14ac:dyDescent="0.25">
      <c r="B17" s="221">
        <f t="shared" si="1"/>
        <v>0</v>
      </c>
      <c r="C17" s="15"/>
      <c r="D17" s="68"/>
      <c r="E17" s="592"/>
      <c r="F17" s="565">
        <f t="shared" si="0"/>
        <v>0</v>
      </c>
      <c r="G17" s="563"/>
      <c r="H17" s="564"/>
      <c r="I17" s="593">
        <f t="shared" si="2"/>
        <v>0</v>
      </c>
      <c r="J17" s="594"/>
    </row>
    <row r="18" spans="1:10" x14ac:dyDescent="0.25">
      <c r="A18" s="118"/>
      <c r="B18" s="221">
        <f t="shared" si="1"/>
        <v>0</v>
      </c>
      <c r="C18" s="15"/>
      <c r="D18" s="68"/>
      <c r="E18" s="592"/>
      <c r="F18" s="565">
        <f t="shared" si="0"/>
        <v>0</v>
      </c>
      <c r="G18" s="563"/>
      <c r="H18" s="564"/>
      <c r="I18" s="593">
        <f t="shared" si="2"/>
        <v>0</v>
      </c>
    </row>
    <row r="19" spans="1:10" x14ac:dyDescent="0.25">
      <c r="A19" s="118"/>
      <c r="B19" s="221">
        <f t="shared" si="1"/>
        <v>0</v>
      </c>
      <c r="C19" s="15"/>
      <c r="D19" s="68"/>
      <c r="E19" s="592"/>
      <c r="F19" s="565">
        <f t="shared" si="0"/>
        <v>0</v>
      </c>
      <c r="G19" s="563"/>
      <c r="H19" s="564"/>
      <c r="I19" s="593">
        <f t="shared" si="2"/>
        <v>0</v>
      </c>
    </row>
    <row r="20" spans="1:10" x14ac:dyDescent="0.25">
      <c r="A20" s="118"/>
      <c r="B20" s="221">
        <f t="shared" si="1"/>
        <v>0</v>
      </c>
      <c r="C20" s="15"/>
      <c r="D20" s="68"/>
      <c r="E20" s="592"/>
      <c r="F20" s="565">
        <f t="shared" si="0"/>
        <v>0</v>
      </c>
      <c r="G20" s="563"/>
      <c r="H20" s="564"/>
      <c r="I20" s="593">
        <f t="shared" si="2"/>
        <v>0</v>
      </c>
    </row>
    <row r="21" spans="1:10" x14ac:dyDescent="0.25">
      <c r="A21" s="118"/>
      <c r="B21" s="221">
        <f t="shared" si="1"/>
        <v>0</v>
      </c>
      <c r="C21" s="15"/>
      <c r="D21" s="68"/>
      <c r="E21" s="592"/>
      <c r="F21" s="565">
        <f t="shared" si="0"/>
        <v>0</v>
      </c>
      <c r="G21" s="563"/>
      <c r="H21" s="564"/>
      <c r="I21" s="593">
        <f t="shared" si="2"/>
        <v>0</v>
      </c>
    </row>
    <row r="22" spans="1:10" x14ac:dyDescent="0.25">
      <c r="A22" s="118"/>
      <c r="B22" s="221">
        <f t="shared" si="1"/>
        <v>0</v>
      </c>
      <c r="C22" s="15"/>
      <c r="D22" s="68"/>
      <c r="E22" s="592"/>
      <c r="F22" s="565">
        <f t="shared" si="0"/>
        <v>0</v>
      </c>
      <c r="G22" s="563"/>
      <c r="H22" s="564"/>
      <c r="I22" s="593">
        <f t="shared" si="2"/>
        <v>0</v>
      </c>
    </row>
    <row r="23" spans="1:10" x14ac:dyDescent="0.25">
      <c r="A23" s="119"/>
      <c r="B23" s="221">
        <f t="shared" si="1"/>
        <v>0</v>
      </c>
      <c r="C23" s="15"/>
      <c r="D23" s="68"/>
      <c r="E23" s="592"/>
      <c r="F23" s="565">
        <f t="shared" si="0"/>
        <v>0</v>
      </c>
      <c r="G23" s="563"/>
      <c r="H23" s="564"/>
      <c r="I23" s="593">
        <f t="shared" si="2"/>
        <v>0</v>
      </c>
    </row>
    <row r="24" spans="1:10" x14ac:dyDescent="0.25">
      <c r="A24" s="118"/>
      <c r="B24" s="221">
        <f t="shared" si="1"/>
        <v>0</v>
      </c>
      <c r="C24" s="15"/>
      <c r="D24" s="68"/>
      <c r="E24" s="592"/>
      <c r="F24" s="565">
        <f t="shared" si="0"/>
        <v>0</v>
      </c>
      <c r="G24" s="563"/>
      <c r="H24" s="564"/>
      <c r="I24" s="593">
        <f t="shared" si="2"/>
        <v>0</v>
      </c>
    </row>
    <row r="25" spans="1:10" x14ac:dyDescent="0.25">
      <c r="A25" s="118"/>
      <c r="B25" s="221">
        <f t="shared" si="1"/>
        <v>0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0</v>
      </c>
    </row>
    <row r="26" spans="1:10" x14ac:dyDescent="0.25">
      <c r="A26" s="118"/>
      <c r="B26" s="221">
        <f t="shared" si="1"/>
        <v>0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0</v>
      </c>
    </row>
    <row r="27" spans="1:10" x14ac:dyDescent="0.25">
      <c r="A27" s="118"/>
      <c r="B27" s="221">
        <f t="shared" si="1"/>
        <v>0</v>
      </c>
      <c r="C27" s="15"/>
      <c r="D27" s="68"/>
      <c r="E27" s="191"/>
      <c r="F27" s="68">
        <v>0</v>
      </c>
      <c r="G27" s="69"/>
      <c r="H27" s="70"/>
      <c r="I27" s="194">
        <f t="shared" si="2"/>
        <v>0</v>
      </c>
    </row>
    <row r="28" spans="1:10" x14ac:dyDescent="0.25">
      <c r="A28" s="118"/>
      <c r="B28" s="221">
        <f t="shared" si="1"/>
        <v>0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65" t="s">
        <v>11</v>
      </c>
      <c r="D40" s="1666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H16" sqref="H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8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  <c r="I1" s="497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9"/>
    </row>
    <row r="4" spans="1:10" ht="15.75" customHeight="1" thickTop="1" x14ac:dyDescent="0.25">
      <c r="A4" s="12"/>
      <c r="B4" s="1682" t="s">
        <v>86</v>
      </c>
      <c r="C4" s="12"/>
      <c r="D4" s="72"/>
      <c r="E4" s="58"/>
      <c r="F4" s="61"/>
      <c r="G4" s="151"/>
      <c r="H4" s="151"/>
      <c r="I4" s="499"/>
    </row>
    <row r="5" spans="1:10" ht="15" customHeight="1" x14ac:dyDescent="0.25">
      <c r="A5" s="1667" t="s">
        <v>52</v>
      </c>
      <c r="B5" s="1683"/>
      <c r="C5" s="220"/>
      <c r="D5" s="130"/>
      <c r="E5" s="77"/>
      <c r="F5" s="61"/>
      <c r="G5" s="5"/>
      <c r="H5" t="s">
        <v>41</v>
      </c>
    </row>
    <row r="6" spans="1:10" ht="15.75" x14ac:dyDescent="0.25">
      <c r="A6" s="1667"/>
      <c r="B6" s="1683"/>
      <c r="C6" s="428"/>
      <c r="D6" s="215"/>
      <c r="E6" s="77"/>
      <c r="F6" s="61"/>
      <c r="G6" s="47">
        <f>F35</f>
        <v>0</v>
      </c>
      <c r="H6" s="7">
        <f>E6-G6+E7+E5-G5+E4+E8</f>
        <v>0</v>
      </c>
      <c r="I6" s="500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09">
        <f>F4+F5+F6+F7-C10+F8</f>
        <v>0</v>
      </c>
      <c r="C10" s="624"/>
      <c r="D10" s="565"/>
      <c r="E10" s="592"/>
      <c r="F10" s="565">
        <f t="shared" ref="F10:F26" si="0">D10</f>
        <v>0</v>
      </c>
      <c r="G10" s="563"/>
      <c r="H10" s="564"/>
      <c r="I10" s="595">
        <f>E4+E5+E6+E7-F10+E8</f>
        <v>0</v>
      </c>
    </row>
    <row r="11" spans="1:10" x14ac:dyDescent="0.25">
      <c r="A11" s="185"/>
      <c r="B11" s="809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95">
        <f>I10-F11</f>
        <v>0</v>
      </c>
    </row>
    <row r="12" spans="1:10" x14ac:dyDescent="0.25">
      <c r="A12" s="174"/>
      <c r="B12" s="809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95">
        <f t="shared" ref="I12:I30" si="2">I11-F12</f>
        <v>0</v>
      </c>
    </row>
    <row r="13" spans="1:10" x14ac:dyDescent="0.25">
      <c r="A13" s="81" t="s">
        <v>33</v>
      </c>
      <c r="B13" s="809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95">
        <f t="shared" si="2"/>
        <v>0</v>
      </c>
      <c r="J13" s="594"/>
    </row>
    <row r="14" spans="1:10" x14ac:dyDescent="0.25">
      <c r="A14" s="72"/>
      <c r="B14" s="809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95">
        <f t="shared" si="2"/>
        <v>0</v>
      </c>
      <c r="J14" s="594"/>
    </row>
    <row r="15" spans="1:10" x14ac:dyDescent="0.25">
      <c r="A15" s="72"/>
      <c r="B15" s="809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95">
        <f t="shared" si="2"/>
        <v>0</v>
      </c>
      <c r="J15" s="594"/>
    </row>
    <row r="16" spans="1:10" x14ac:dyDescent="0.25">
      <c r="B16" s="809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95">
        <f t="shared" si="2"/>
        <v>0</v>
      </c>
      <c r="J16" s="594"/>
    </row>
    <row r="17" spans="1:10" x14ac:dyDescent="0.25">
      <c r="B17" s="809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95">
        <f t="shared" si="2"/>
        <v>0</v>
      </c>
      <c r="J17" s="594"/>
    </row>
    <row r="18" spans="1:10" x14ac:dyDescent="0.25">
      <c r="A18" s="118"/>
      <c r="B18" s="809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95">
        <f t="shared" si="2"/>
        <v>0</v>
      </c>
      <c r="J18" s="594"/>
    </row>
    <row r="19" spans="1:10" x14ac:dyDescent="0.25">
      <c r="A19" s="118"/>
      <c r="B19" s="809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95">
        <f t="shared" si="2"/>
        <v>0</v>
      </c>
      <c r="J19" s="594"/>
    </row>
    <row r="20" spans="1:10" x14ac:dyDescent="0.25">
      <c r="A20" s="118"/>
      <c r="B20" s="809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95">
        <f t="shared" si="2"/>
        <v>0</v>
      </c>
      <c r="J20" s="594"/>
    </row>
    <row r="21" spans="1:10" x14ac:dyDescent="0.25">
      <c r="A21" s="118"/>
      <c r="B21" s="809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95">
        <f t="shared" si="2"/>
        <v>0</v>
      </c>
      <c r="J21" s="594"/>
    </row>
    <row r="22" spans="1:10" x14ac:dyDescent="0.25">
      <c r="A22" s="118"/>
      <c r="B22" s="809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95">
        <f t="shared" si="2"/>
        <v>0</v>
      </c>
      <c r="J22" s="594"/>
    </row>
    <row r="23" spans="1:10" x14ac:dyDescent="0.25">
      <c r="A23" s="119"/>
      <c r="B23" s="809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95">
        <f t="shared" si="2"/>
        <v>0</v>
      </c>
      <c r="J23" s="594"/>
    </row>
    <row r="24" spans="1:10" x14ac:dyDescent="0.25">
      <c r="A24" s="118"/>
      <c r="B24" s="809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95">
        <f t="shared" si="2"/>
        <v>0</v>
      </c>
      <c r="J24" s="594"/>
    </row>
    <row r="25" spans="1:10" x14ac:dyDescent="0.25">
      <c r="A25" s="118"/>
      <c r="B25" s="809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95">
        <f t="shared" si="2"/>
        <v>0</v>
      </c>
      <c r="J25" s="594"/>
    </row>
    <row r="26" spans="1:10" x14ac:dyDescent="0.25">
      <c r="A26" s="118"/>
      <c r="B26" s="809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95">
        <f t="shared" si="2"/>
        <v>0</v>
      </c>
      <c r="J26" s="594"/>
    </row>
    <row r="27" spans="1:10" x14ac:dyDescent="0.25">
      <c r="A27" s="118"/>
      <c r="B27" s="809">
        <f t="shared" si="1"/>
        <v>0</v>
      </c>
      <c r="C27" s="624"/>
      <c r="D27" s="565"/>
      <c r="E27" s="592"/>
      <c r="F27" s="565">
        <v>0</v>
      </c>
      <c r="G27" s="563"/>
      <c r="H27" s="564"/>
      <c r="I27" s="595">
        <f t="shared" si="2"/>
        <v>0</v>
      </c>
      <c r="J27" s="594"/>
    </row>
    <row r="28" spans="1:10" x14ac:dyDescent="0.25">
      <c r="A28" s="118"/>
      <c r="B28" s="809">
        <f t="shared" si="1"/>
        <v>0</v>
      </c>
      <c r="C28" s="624"/>
      <c r="D28" s="565"/>
      <c r="E28" s="592"/>
      <c r="F28" s="565">
        <f t="shared" ref="F28:F33" si="3">D28</f>
        <v>0</v>
      </c>
      <c r="G28" s="563"/>
      <c r="H28" s="564"/>
      <c r="I28" s="595">
        <f t="shared" si="2"/>
        <v>0</v>
      </c>
      <c r="J28" s="594"/>
    </row>
    <row r="29" spans="1:10" x14ac:dyDescent="0.25">
      <c r="A29" s="118"/>
      <c r="B29" s="809"/>
      <c r="C29" s="624"/>
      <c r="D29" s="565"/>
      <c r="E29" s="592"/>
      <c r="F29" s="565">
        <f t="shared" si="3"/>
        <v>0</v>
      </c>
      <c r="G29" s="563"/>
      <c r="H29" s="564"/>
      <c r="I29" s="595">
        <f t="shared" si="2"/>
        <v>0</v>
      </c>
      <c r="J29" s="594"/>
    </row>
    <row r="30" spans="1:10" x14ac:dyDescent="0.25">
      <c r="A30" s="118"/>
      <c r="B30" s="809"/>
      <c r="C30" s="624"/>
      <c r="D30" s="565"/>
      <c r="E30" s="592"/>
      <c r="F30" s="565">
        <f t="shared" si="3"/>
        <v>0</v>
      </c>
      <c r="G30" s="563"/>
      <c r="H30" s="564"/>
      <c r="I30" s="595">
        <f t="shared" si="2"/>
        <v>0</v>
      </c>
      <c r="J30" s="594"/>
    </row>
    <row r="31" spans="1:10" x14ac:dyDescent="0.25">
      <c r="A31" s="118"/>
      <c r="B31" s="809"/>
      <c r="C31" s="624"/>
      <c r="D31" s="565"/>
      <c r="E31" s="592"/>
      <c r="F31" s="565">
        <f t="shared" si="3"/>
        <v>0</v>
      </c>
      <c r="G31" s="563"/>
      <c r="H31" s="564"/>
      <c r="I31" s="595"/>
      <c r="J31" s="594"/>
    </row>
    <row r="32" spans="1:10" x14ac:dyDescent="0.25">
      <c r="A32" s="118"/>
      <c r="B32" s="809"/>
      <c r="C32" s="624"/>
      <c r="D32" s="565"/>
      <c r="E32" s="592"/>
      <c r="F32" s="565">
        <f t="shared" si="3"/>
        <v>0</v>
      </c>
      <c r="G32" s="563"/>
      <c r="H32" s="564"/>
      <c r="I32" s="595"/>
      <c r="J32" s="594"/>
    </row>
    <row r="33" spans="1:10" x14ac:dyDescent="0.25">
      <c r="A33" s="118"/>
      <c r="B33" s="676"/>
      <c r="C33" s="624"/>
      <c r="D33" s="565"/>
      <c r="E33" s="592"/>
      <c r="F33" s="565">
        <f t="shared" si="3"/>
        <v>0</v>
      </c>
      <c r="G33" s="563"/>
      <c r="H33" s="564"/>
      <c r="I33" s="595"/>
      <c r="J33" s="594"/>
    </row>
    <row r="34" spans="1:10" ht="15.75" thickBot="1" x14ac:dyDescent="0.3">
      <c r="A34" s="118"/>
      <c r="B34" s="1255"/>
      <c r="C34" s="1256"/>
      <c r="D34" s="1257"/>
      <c r="E34" s="1258"/>
      <c r="F34" s="1259"/>
      <c r="G34" s="1260"/>
      <c r="H34" s="595"/>
      <c r="I34" s="595"/>
      <c r="J34" s="59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0</v>
      </c>
    </row>
    <row r="39" spans="1:10" ht="15.75" thickBot="1" x14ac:dyDescent="0.3"/>
    <row r="40" spans="1:10" ht="15.75" thickBot="1" x14ac:dyDescent="0.3">
      <c r="C40" s="1665" t="s">
        <v>11</v>
      </c>
      <c r="D40" s="1666"/>
      <c r="E40" s="56">
        <f>E4+E5+E6+E7-F35</f>
        <v>0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96"/>
      <c r="F4" s="61"/>
      <c r="G4" s="151"/>
      <c r="H4" s="151"/>
      <c r="I4" s="151"/>
    </row>
    <row r="5" spans="1:10" ht="15.75" x14ac:dyDescent="0.25">
      <c r="A5" s="1671"/>
      <c r="B5" s="1684" t="s">
        <v>111</v>
      </c>
      <c r="C5" s="899"/>
      <c r="D5" s="215"/>
      <c r="E5" s="897"/>
      <c r="F5" s="61"/>
      <c r="G5" s="5"/>
      <c r="H5" t="s">
        <v>41</v>
      </c>
    </row>
    <row r="6" spans="1:10" ht="15.75" x14ac:dyDescent="0.25">
      <c r="A6" s="1671"/>
      <c r="B6" s="1684"/>
      <c r="C6" s="898"/>
      <c r="D6" s="130"/>
      <c r="E6" s="897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98"/>
      <c r="D7" s="130"/>
      <c r="E7" s="897"/>
      <c r="F7" s="61"/>
    </row>
    <row r="8" spans="1:10" ht="16.5" thickBot="1" x14ac:dyDescent="0.3">
      <c r="B8" s="144"/>
      <c r="C8" s="898"/>
      <c r="D8" s="130"/>
      <c r="E8" s="89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09">
        <f>F4+F5+F6+F7-C10+F8</f>
        <v>0</v>
      </c>
      <c r="C10" s="624"/>
      <c r="D10" s="565"/>
      <c r="E10" s="592"/>
      <c r="F10" s="565">
        <f t="shared" ref="F10:F33" si="0">D10</f>
        <v>0</v>
      </c>
      <c r="G10" s="563"/>
      <c r="H10" s="564"/>
      <c r="I10" s="564">
        <f>E4+E5+E6+E7+E8-F10</f>
        <v>0</v>
      </c>
      <c r="J10" s="594"/>
    </row>
    <row r="11" spans="1:10" x14ac:dyDescent="0.25">
      <c r="A11" s="185"/>
      <c r="B11" s="809">
        <f>B10-C11</f>
        <v>0</v>
      </c>
      <c r="C11" s="624"/>
      <c r="D11" s="565"/>
      <c r="E11" s="592"/>
      <c r="F11" s="565">
        <f t="shared" si="0"/>
        <v>0</v>
      </c>
      <c r="G11" s="563"/>
      <c r="H11" s="564"/>
      <c r="I11" s="564">
        <f>I10-F11</f>
        <v>0</v>
      </c>
      <c r="J11" s="594"/>
    </row>
    <row r="12" spans="1:10" x14ac:dyDescent="0.25">
      <c r="A12" s="174"/>
      <c r="B12" s="809">
        <f t="shared" ref="B12:B28" si="1">B11-C12</f>
        <v>0</v>
      </c>
      <c r="C12" s="624"/>
      <c r="D12" s="565"/>
      <c r="E12" s="592"/>
      <c r="F12" s="565">
        <f t="shared" si="0"/>
        <v>0</v>
      </c>
      <c r="G12" s="563"/>
      <c r="H12" s="564"/>
      <c r="I12" s="564">
        <f t="shared" ref="I12:I34" si="2">I11-F12</f>
        <v>0</v>
      </c>
      <c r="J12" s="594"/>
    </row>
    <row r="13" spans="1:10" x14ac:dyDescent="0.25">
      <c r="A13" s="81" t="s">
        <v>33</v>
      </c>
      <c r="B13" s="809">
        <f t="shared" si="1"/>
        <v>0</v>
      </c>
      <c r="C13" s="624"/>
      <c r="D13" s="565"/>
      <c r="E13" s="592"/>
      <c r="F13" s="565">
        <f t="shared" si="0"/>
        <v>0</v>
      </c>
      <c r="G13" s="563"/>
      <c r="H13" s="564"/>
      <c r="I13" s="564">
        <f t="shared" si="2"/>
        <v>0</v>
      </c>
      <c r="J13" s="594"/>
    </row>
    <row r="14" spans="1:10" x14ac:dyDescent="0.25">
      <c r="A14" s="72"/>
      <c r="B14" s="809">
        <f t="shared" si="1"/>
        <v>0</v>
      </c>
      <c r="C14" s="624"/>
      <c r="D14" s="565"/>
      <c r="E14" s="592"/>
      <c r="F14" s="565">
        <f t="shared" si="0"/>
        <v>0</v>
      </c>
      <c r="G14" s="563"/>
      <c r="H14" s="564"/>
      <c r="I14" s="564">
        <f t="shared" si="2"/>
        <v>0</v>
      </c>
      <c r="J14" s="594"/>
    </row>
    <row r="15" spans="1:10" x14ac:dyDescent="0.25">
      <c r="A15" s="72"/>
      <c r="B15" s="809">
        <f t="shared" si="1"/>
        <v>0</v>
      </c>
      <c r="C15" s="624"/>
      <c r="D15" s="565"/>
      <c r="E15" s="592"/>
      <c r="F15" s="565">
        <f t="shared" si="0"/>
        <v>0</v>
      </c>
      <c r="G15" s="563"/>
      <c r="H15" s="564"/>
      <c r="I15" s="564">
        <f t="shared" si="2"/>
        <v>0</v>
      </c>
      <c r="J15" s="594"/>
    </row>
    <row r="16" spans="1:10" x14ac:dyDescent="0.25">
      <c r="B16" s="809">
        <f t="shared" si="1"/>
        <v>0</v>
      </c>
      <c r="C16" s="624"/>
      <c r="D16" s="565"/>
      <c r="E16" s="592"/>
      <c r="F16" s="565">
        <f t="shared" si="0"/>
        <v>0</v>
      </c>
      <c r="G16" s="563"/>
      <c r="H16" s="564"/>
      <c r="I16" s="564">
        <f t="shared" si="2"/>
        <v>0</v>
      </c>
      <c r="J16" s="594"/>
    </row>
    <row r="17" spans="1:10" x14ac:dyDescent="0.25">
      <c r="B17" s="809">
        <f t="shared" si="1"/>
        <v>0</v>
      </c>
      <c r="C17" s="624"/>
      <c r="D17" s="565"/>
      <c r="E17" s="592"/>
      <c r="F17" s="565">
        <f t="shared" si="0"/>
        <v>0</v>
      </c>
      <c r="G17" s="563"/>
      <c r="H17" s="564"/>
      <c r="I17" s="564">
        <f t="shared" si="2"/>
        <v>0</v>
      </c>
      <c r="J17" s="594"/>
    </row>
    <row r="18" spans="1:10" x14ac:dyDescent="0.25">
      <c r="A18" s="118"/>
      <c r="B18" s="809">
        <f t="shared" si="1"/>
        <v>0</v>
      </c>
      <c r="C18" s="624"/>
      <c r="D18" s="565"/>
      <c r="E18" s="592"/>
      <c r="F18" s="565">
        <f t="shared" si="0"/>
        <v>0</v>
      </c>
      <c r="G18" s="563"/>
      <c r="H18" s="564"/>
      <c r="I18" s="564">
        <f t="shared" si="2"/>
        <v>0</v>
      </c>
      <c r="J18" s="594"/>
    </row>
    <row r="19" spans="1:10" x14ac:dyDescent="0.25">
      <c r="A19" s="118"/>
      <c r="B19" s="809">
        <f t="shared" si="1"/>
        <v>0</v>
      </c>
      <c r="C19" s="624"/>
      <c r="D19" s="565"/>
      <c r="E19" s="592"/>
      <c r="F19" s="565">
        <f t="shared" si="0"/>
        <v>0</v>
      </c>
      <c r="G19" s="563"/>
      <c r="H19" s="564"/>
      <c r="I19" s="564">
        <f t="shared" si="2"/>
        <v>0</v>
      </c>
      <c r="J19" s="594"/>
    </row>
    <row r="20" spans="1:10" x14ac:dyDescent="0.25">
      <c r="A20" s="118"/>
      <c r="B20" s="809">
        <f t="shared" si="1"/>
        <v>0</v>
      </c>
      <c r="C20" s="624"/>
      <c r="D20" s="565"/>
      <c r="E20" s="592"/>
      <c r="F20" s="565">
        <f t="shared" si="0"/>
        <v>0</v>
      </c>
      <c r="G20" s="563"/>
      <c r="H20" s="564"/>
      <c r="I20" s="564">
        <f t="shared" si="2"/>
        <v>0</v>
      </c>
      <c r="J20" s="594"/>
    </row>
    <row r="21" spans="1:10" x14ac:dyDescent="0.25">
      <c r="A21" s="118"/>
      <c r="B21" s="809">
        <f t="shared" si="1"/>
        <v>0</v>
      </c>
      <c r="C21" s="624"/>
      <c r="D21" s="565"/>
      <c r="E21" s="592"/>
      <c r="F21" s="565">
        <f t="shared" si="0"/>
        <v>0</v>
      </c>
      <c r="G21" s="563"/>
      <c r="H21" s="564"/>
      <c r="I21" s="564">
        <f t="shared" si="2"/>
        <v>0</v>
      </c>
      <c r="J21" s="594"/>
    </row>
    <row r="22" spans="1:10" x14ac:dyDescent="0.25">
      <c r="A22" s="118"/>
      <c r="B22" s="809">
        <f t="shared" si="1"/>
        <v>0</v>
      </c>
      <c r="C22" s="624"/>
      <c r="D22" s="565"/>
      <c r="E22" s="592"/>
      <c r="F22" s="565">
        <f t="shared" si="0"/>
        <v>0</v>
      </c>
      <c r="G22" s="563"/>
      <c r="H22" s="564"/>
      <c r="I22" s="564">
        <f t="shared" si="2"/>
        <v>0</v>
      </c>
      <c r="J22" s="594"/>
    </row>
    <row r="23" spans="1:10" x14ac:dyDescent="0.25">
      <c r="A23" s="119"/>
      <c r="B23" s="809">
        <f t="shared" si="1"/>
        <v>0</v>
      </c>
      <c r="C23" s="624"/>
      <c r="D23" s="565"/>
      <c r="E23" s="592"/>
      <c r="F23" s="565">
        <f t="shared" si="0"/>
        <v>0</v>
      </c>
      <c r="G23" s="563"/>
      <c r="H23" s="564"/>
      <c r="I23" s="564">
        <f t="shared" si="2"/>
        <v>0</v>
      </c>
      <c r="J23" s="594"/>
    </row>
    <row r="24" spans="1:10" x14ac:dyDescent="0.25">
      <c r="A24" s="118"/>
      <c r="B24" s="809">
        <f t="shared" si="1"/>
        <v>0</v>
      </c>
      <c r="C24" s="624"/>
      <c r="D24" s="565"/>
      <c r="E24" s="592"/>
      <c r="F24" s="565">
        <f t="shared" si="0"/>
        <v>0</v>
      </c>
      <c r="G24" s="563"/>
      <c r="H24" s="564"/>
      <c r="I24" s="564">
        <f t="shared" si="2"/>
        <v>0</v>
      </c>
      <c r="J24" s="594"/>
    </row>
    <row r="25" spans="1:10" x14ac:dyDescent="0.25">
      <c r="A25" s="118"/>
      <c r="B25" s="809">
        <f t="shared" si="1"/>
        <v>0</v>
      </c>
      <c r="C25" s="624"/>
      <c r="D25" s="565"/>
      <c r="E25" s="592"/>
      <c r="F25" s="565">
        <f t="shared" si="0"/>
        <v>0</v>
      </c>
      <c r="G25" s="563"/>
      <c r="H25" s="564"/>
      <c r="I25" s="564">
        <f t="shared" si="2"/>
        <v>0</v>
      </c>
      <c r="J25" s="594"/>
    </row>
    <row r="26" spans="1:10" x14ac:dyDescent="0.25">
      <c r="A26" s="118"/>
      <c r="B26" s="809">
        <f t="shared" si="1"/>
        <v>0</v>
      </c>
      <c r="C26" s="624"/>
      <c r="D26" s="565"/>
      <c r="E26" s="592"/>
      <c r="F26" s="565">
        <f t="shared" si="0"/>
        <v>0</v>
      </c>
      <c r="G26" s="563"/>
      <c r="H26" s="564"/>
      <c r="I26" s="564">
        <f t="shared" si="2"/>
        <v>0</v>
      </c>
      <c r="J26" s="594"/>
    </row>
    <row r="27" spans="1:10" x14ac:dyDescent="0.25">
      <c r="A27" s="118"/>
      <c r="B27" s="809">
        <f t="shared" si="1"/>
        <v>0</v>
      </c>
      <c r="C27" s="624"/>
      <c r="D27" s="565"/>
      <c r="E27" s="592"/>
      <c r="F27" s="565">
        <v>0</v>
      </c>
      <c r="G27" s="563"/>
      <c r="H27" s="564"/>
      <c r="I27" s="564">
        <f t="shared" si="2"/>
        <v>0</v>
      </c>
      <c r="J27" s="594"/>
    </row>
    <row r="28" spans="1:10" x14ac:dyDescent="0.25">
      <c r="A28" s="118"/>
      <c r="B28" s="809">
        <f t="shared" si="1"/>
        <v>0</v>
      </c>
      <c r="C28" s="624"/>
      <c r="D28" s="565"/>
      <c r="E28" s="592"/>
      <c r="F28" s="565">
        <f t="shared" si="0"/>
        <v>0</v>
      </c>
      <c r="G28" s="563"/>
      <c r="H28" s="564"/>
      <c r="I28" s="564">
        <f t="shared" si="2"/>
        <v>0</v>
      </c>
      <c r="J28" s="594"/>
    </row>
    <row r="29" spans="1:10" x14ac:dyDescent="0.25">
      <c r="A29" s="118"/>
      <c r="B29" s="809"/>
      <c r="C29" s="624"/>
      <c r="D29" s="565"/>
      <c r="E29" s="592"/>
      <c r="F29" s="565">
        <f t="shared" si="0"/>
        <v>0</v>
      </c>
      <c r="G29" s="563"/>
      <c r="H29" s="564"/>
      <c r="I29" s="564">
        <f t="shared" si="2"/>
        <v>0</v>
      </c>
      <c r="J29" s="594"/>
    </row>
    <row r="30" spans="1:10" x14ac:dyDescent="0.25">
      <c r="A30" s="118"/>
      <c r="B30" s="809"/>
      <c r="C30" s="624"/>
      <c r="D30" s="565"/>
      <c r="E30" s="592"/>
      <c r="F30" s="565">
        <f t="shared" si="0"/>
        <v>0</v>
      </c>
      <c r="G30" s="563"/>
      <c r="H30" s="564"/>
      <c r="I30" s="564">
        <f t="shared" si="2"/>
        <v>0</v>
      </c>
      <c r="J30" s="59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6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6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64">
        <f t="shared" si="2"/>
        <v>0</v>
      </c>
    </row>
    <row r="34" spans="1:9" ht="15.75" thickBot="1" x14ac:dyDescent="0.3">
      <c r="A34" s="118"/>
      <c r="B34" s="16"/>
      <c r="C34" s="52"/>
      <c r="D34" s="999"/>
      <c r="E34" s="1000"/>
      <c r="F34" s="146"/>
      <c r="G34" s="135"/>
      <c r="H34" s="70"/>
      <c r="I34" s="56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65" t="s">
        <v>11</v>
      </c>
      <c r="D40" s="1666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40"/>
  <sheetViews>
    <sheetView workbookViewId="0">
      <selection activeCell="L17" sqref="L17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20" ht="40.5" customHeight="1" x14ac:dyDescent="0.55000000000000004">
      <c r="A1" s="1663" t="s">
        <v>310</v>
      </c>
      <c r="B1" s="1663"/>
      <c r="C1" s="1663"/>
      <c r="D1" s="1663"/>
      <c r="E1" s="1663"/>
      <c r="F1" s="1663"/>
      <c r="G1" s="1663"/>
      <c r="H1" s="11">
        <v>1</v>
      </c>
      <c r="K1" s="1668" t="s">
        <v>347</v>
      </c>
      <c r="L1" s="1668"/>
      <c r="M1" s="1668"/>
      <c r="N1" s="1668"/>
      <c r="O1" s="1668"/>
      <c r="P1" s="1668"/>
      <c r="Q1" s="1668"/>
      <c r="R1" s="11">
        <v>2</v>
      </c>
    </row>
    <row r="2" spans="1:20" ht="15.75" customHeight="1" thickBot="1" x14ac:dyDescent="0.3"/>
    <row r="3" spans="1:2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C4" s="124"/>
      <c r="D4" s="145"/>
      <c r="E4" s="128"/>
      <c r="F4" s="1146"/>
      <c r="G4" s="38"/>
      <c r="M4" s="124"/>
      <c r="N4" s="145"/>
      <c r="O4" s="128"/>
      <c r="P4" s="1225"/>
      <c r="Q4" s="38"/>
    </row>
    <row r="5" spans="1:20" ht="15" customHeight="1" x14ac:dyDescent="0.25">
      <c r="A5" s="1667" t="s">
        <v>155</v>
      </c>
      <c r="B5" s="1684" t="s">
        <v>72</v>
      </c>
      <c r="C5" s="451">
        <v>41</v>
      </c>
      <c r="D5" s="504">
        <v>45098</v>
      </c>
      <c r="E5" s="452">
        <v>501.76</v>
      </c>
      <c r="F5" s="1145">
        <v>32</v>
      </c>
      <c r="G5" s="87">
        <f>F36</f>
        <v>501.76</v>
      </c>
      <c r="H5" s="7">
        <f>E5-G5+E4+E6</f>
        <v>0</v>
      </c>
      <c r="K5" s="1667" t="s">
        <v>155</v>
      </c>
      <c r="L5" s="1684" t="s">
        <v>72</v>
      </c>
      <c r="M5" s="451">
        <v>41.53</v>
      </c>
      <c r="N5" s="504">
        <v>45119</v>
      </c>
      <c r="O5" s="452">
        <v>496.2</v>
      </c>
      <c r="P5" s="1224">
        <v>39</v>
      </c>
      <c r="Q5" s="87">
        <f>P36</f>
        <v>496.20000000000005</v>
      </c>
      <c r="R5" s="7">
        <f>O5-Q5+O4+O6</f>
        <v>-5.6843418860808015E-14</v>
      </c>
    </row>
    <row r="6" spans="1:20" ht="15.75" customHeight="1" thickBot="1" x14ac:dyDescent="0.3">
      <c r="A6" s="1667"/>
      <c r="B6" s="1685"/>
      <c r="C6" s="152"/>
      <c r="D6" s="145"/>
      <c r="E6" s="128"/>
      <c r="F6" s="1146"/>
      <c r="K6" s="1667"/>
      <c r="L6" s="1685"/>
      <c r="M6" s="152"/>
      <c r="N6" s="145"/>
      <c r="O6" s="128"/>
      <c r="P6" s="1225"/>
    </row>
    <row r="7" spans="1:20" ht="16.5" customHeight="1" thickTop="1" thickBot="1" x14ac:dyDescent="0.3">
      <c r="A7" s="1146"/>
      <c r="B7" s="47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25"/>
      <c r="L7" s="479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20" ht="15.75" customHeight="1" thickTop="1" x14ac:dyDescent="0.25">
      <c r="A8" s="439"/>
      <c r="B8" s="481">
        <f>F4+F5+F6-C8</f>
        <v>22</v>
      </c>
      <c r="C8" s="624">
        <v>10</v>
      </c>
      <c r="D8" s="565">
        <v>167.55</v>
      </c>
      <c r="E8" s="640">
        <v>45098</v>
      </c>
      <c r="F8" s="596">
        <f t="shared" ref="F8:F9" si="0">D8</f>
        <v>167.55</v>
      </c>
      <c r="G8" s="563" t="s">
        <v>217</v>
      </c>
      <c r="H8" s="564">
        <v>43</v>
      </c>
      <c r="I8" s="641">
        <f>E5-F8+E4+E6</f>
        <v>334.21</v>
      </c>
      <c r="K8" s="647"/>
      <c r="L8" s="481">
        <f>P4+P5+P6-M8</f>
        <v>34</v>
      </c>
      <c r="M8" s="624">
        <v>5</v>
      </c>
      <c r="N8" s="565">
        <v>62.83</v>
      </c>
      <c r="O8" s="640">
        <v>45120</v>
      </c>
      <c r="P8" s="596">
        <f t="shared" ref="P8" si="1">N8</f>
        <v>62.83</v>
      </c>
      <c r="Q8" s="563" t="s">
        <v>585</v>
      </c>
      <c r="R8" s="564">
        <v>43.5</v>
      </c>
      <c r="S8" s="641">
        <f>O5-P8+O4+O6</f>
        <v>433.37</v>
      </c>
      <c r="T8" s="594"/>
    </row>
    <row r="9" spans="1:20" ht="15" customHeight="1" x14ac:dyDescent="0.25">
      <c r="B9" s="481">
        <f>B8-C9</f>
        <v>17</v>
      </c>
      <c r="C9" s="624">
        <v>5</v>
      </c>
      <c r="D9" s="565">
        <v>78.05</v>
      </c>
      <c r="E9" s="640">
        <v>45099</v>
      </c>
      <c r="F9" s="596">
        <f t="shared" si="0"/>
        <v>78.05</v>
      </c>
      <c r="G9" s="563" t="s">
        <v>251</v>
      </c>
      <c r="H9" s="564">
        <v>43</v>
      </c>
      <c r="I9" s="641">
        <f>I8-F9</f>
        <v>256.15999999999997</v>
      </c>
      <c r="K9" s="594"/>
      <c r="L9" s="481">
        <f>L8-M9</f>
        <v>33</v>
      </c>
      <c r="M9" s="624">
        <v>1</v>
      </c>
      <c r="N9" s="565">
        <v>13.75</v>
      </c>
      <c r="O9" s="640">
        <v>45124</v>
      </c>
      <c r="P9" s="596">
        <f t="shared" ref="P9:P35" si="2">N9</f>
        <v>13.75</v>
      </c>
      <c r="Q9" s="563" t="s">
        <v>618</v>
      </c>
      <c r="R9" s="564">
        <v>34.5</v>
      </c>
      <c r="S9" s="641">
        <f>S8-P9</f>
        <v>419.62</v>
      </c>
      <c r="T9" s="594"/>
    </row>
    <row r="10" spans="1:20" ht="15" customHeight="1" x14ac:dyDescent="0.25">
      <c r="B10" s="1074">
        <f t="shared" ref="B10:B35" si="3">B9-C10</f>
        <v>16</v>
      </c>
      <c r="C10" s="704">
        <v>1</v>
      </c>
      <c r="D10" s="565">
        <v>15.43</v>
      </c>
      <c r="E10" s="640">
        <v>45101</v>
      </c>
      <c r="F10" s="596">
        <f t="shared" ref="F10:F35" si="4">D10</f>
        <v>15.43</v>
      </c>
      <c r="G10" s="563" t="s">
        <v>260</v>
      </c>
      <c r="H10" s="564">
        <v>43</v>
      </c>
      <c r="I10" s="1073">
        <f>I9-F10</f>
        <v>240.72999999999996</v>
      </c>
      <c r="K10" s="594"/>
      <c r="L10" s="481">
        <f t="shared" ref="L10:L35" si="5">L9-M10</f>
        <v>23</v>
      </c>
      <c r="M10" s="704">
        <v>10</v>
      </c>
      <c r="N10" s="565">
        <v>121.89</v>
      </c>
      <c r="O10" s="640">
        <v>45126</v>
      </c>
      <c r="P10" s="596">
        <f t="shared" si="2"/>
        <v>121.89</v>
      </c>
      <c r="Q10" s="563" t="s">
        <v>642</v>
      </c>
      <c r="R10" s="564">
        <v>34.5</v>
      </c>
      <c r="S10" s="641">
        <f>S9-P10</f>
        <v>297.73</v>
      </c>
      <c r="T10" s="594"/>
    </row>
    <row r="11" spans="1:20" ht="15" customHeight="1" x14ac:dyDescent="0.25">
      <c r="A11" s="54" t="s">
        <v>33</v>
      </c>
      <c r="B11" s="481">
        <f t="shared" si="3"/>
        <v>16</v>
      </c>
      <c r="C11" s="624"/>
      <c r="D11" s="565">
        <v>0</v>
      </c>
      <c r="E11" s="640"/>
      <c r="F11" s="596">
        <f t="shared" si="4"/>
        <v>0</v>
      </c>
      <c r="G11" s="563"/>
      <c r="H11" s="564"/>
      <c r="I11" s="641">
        <f t="shared" ref="I11:I34" si="6">I10-F11</f>
        <v>240.72999999999996</v>
      </c>
      <c r="K11" s="1355" t="s">
        <v>33</v>
      </c>
      <c r="L11" s="481">
        <f t="shared" si="5"/>
        <v>8</v>
      </c>
      <c r="M11" s="624">
        <v>15</v>
      </c>
      <c r="N11" s="565">
        <v>192.58</v>
      </c>
      <c r="O11" s="1353">
        <v>45127</v>
      </c>
      <c r="P11" s="1354">
        <f t="shared" si="2"/>
        <v>192.58</v>
      </c>
      <c r="Q11" s="1342" t="s">
        <v>649</v>
      </c>
      <c r="R11" s="1343">
        <v>34.5</v>
      </c>
      <c r="S11" s="641">
        <f t="shared" ref="S11:S34" si="7">S10-P11</f>
        <v>105.15</v>
      </c>
      <c r="T11" s="594"/>
    </row>
    <row r="12" spans="1:20" ht="15" customHeight="1" x14ac:dyDescent="0.25">
      <c r="A12" s="19"/>
      <c r="B12" s="481">
        <f t="shared" si="3"/>
        <v>10</v>
      </c>
      <c r="C12" s="704">
        <v>6</v>
      </c>
      <c r="D12" s="1246">
        <v>89.77</v>
      </c>
      <c r="E12" s="1261">
        <v>45110</v>
      </c>
      <c r="F12" s="1262">
        <f t="shared" si="4"/>
        <v>89.77</v>
      </c>
      <c r="G12" s="1248" t="s">
        <v>497</v>
      </c>
      <c r="H12" s="1249">
        <v>43</v>
      </c>
      <c r="I12" s="641">
        <f t="shared" si="6"/>
        <v>150.95999999999998</v>
      </c>
      <c r="K12" s="973"/>
      <c r="L12" s="481">
        <f t="shared" si="5"/>
        <v>0</v>
      </c>
      <c r="M12" s="704">
        <v>8</v>
      </c>
      <c r="N12" s="565">
        <v>105.15</v>
      </c>
      <c r="O12" s="640">
        <v>45127</v>
      </c>
      <c r="P12" s="596">
        <f t="shared" si="2"/>
        <v>105.15</v>
      </c>
      <c r="Q12" s="563" t="s">
        <v>654</v>
      </c>
      <c r="R12" s="564">
        <v>34.5</v>
      </c>
      <c r="S12" s="641">
        <f t="shared" si="7"/>
        <v>0</v>
      </c>
      <c r="T12" s="594"/>
    </row>
    <row r="13" spans="1:20" ht="15" customHeight="1" x14ac:dyDescent="0.25">
      <c r="B13" s="481">
        <f t="shared" si="3"/>
        <v>0</v>
      </c>
      <c r="C13" s="624">
        <v>10</v>
      </c>
      <c r="D13" s="1246">
        <v>150.96</v>
      </c>
      <c r="E13" s="1261">
        <v>45114</v>
      </c>
      <c r="F13" s="1262">
        <f t="shared" si="4"/>
        <v>150.96</v>
      </c>
      <c r="G13" s="1248" t="s">
        <v>534</v>
      </c>
      <c r="H13" s="1249">
        <v>43</v>
      </c>
      <c r="I13" s="641">
        <f t="shared" si="6"/>
        <v>0</v>
      </c>
      <c r="L13" s="481">
        <f t="shared" si="5"/>
        <v>0</v>
      </c>
      <c r="M13" s="624"/>
      <c r="N13" s="565">
        <v>0</v>
      </c>
      <c r="O13" s="640"/>
      <c r="P13" s="596">
        <f t="shared" si="2"/>
        <v>0</v>
      </c>
      <c r="Q13" s="563"/>
      <c r="R13" s="564"/>
      <c r="S13" s="641">
        <f t="shared" si="7"/>
        <v>0</v>
      </c>
    </row>
    <row r="14" spans="1:20" ht="15" customHeight="1" x14ac:dyDescent="0.25">
      <c r="B14" s="481">
        <f t="shared" si="3"/>
        <v>0</v>
      </c>
      <c r="C14" s="624"/>
      <c r="D14" s="1246">
        <v>0</v>
      </c>
      <c r="E14" s="1261"/>
      <c r="F14" s="1262">
        <f t="shared" si="4"/>
        <v>0</v>
      </c>
      <c r="G14" s="1248"/>
      <c r="H14" s="1249"/>
      <c r="I14" s="641">
        <f t="shared" si="6"/>
        <v>0</v>
      </c>
      <c r="L14" s="481">
        <f t="shared" si="5"/>
        <v>0</v>
      </c>
      <c r="M14" s="624"/>
      <c r="N14" s="565">
        <v>0</v>
      </c>
      <c r="O14" s="640"/>
      <c r="P14" s="1494">
        <f t="shared" si="2"/>
        <v>0</v>
      </c>
      <c r="Q14" s="1519"/>
      <c r="R14" s="1520"/>
      <c r="S14" s="1526">
        <f t="shared" si="7"/>
        <v>0</v>
      </c>
    </row>
    <row r="15" spans="1:20" ht="15" customHeight="1" x14ac:dyDescent="0.25">
      <c r="B15" s="481">
        <f t="shared" si="3"/>
        <v>0</v>
      </c>
      <c r="C15" s="704"/>
      <c r="D15" s="1246">
        <v>0</v>
      </c>
      <c r="E15" s="1261"/>
      <c r="F15" s="1262">
        <f t="shared" si="4"/>
        <v>0</v>
      </c>
      <c r="G15" s="1248"/>
      <c r="H15" s="1249"/>
      <c r="I15" s="641">
        <f t="shared" si="6"/>
        <v>0</v>
      </c>
      <c r="L15" s="481">
        <f t="shared" si="5"/>
        <v>0</v>
      </c>
      <c r="M15" s="704"/>
      <c r="N15" s="565">
        <v>0</v>
      </c>
      <c r="O15" s="640"/>
      <c r="P15" s="1494">
        <f t="shared" si="2"/>
        <v>0</v>
      </c>
      <c r="Q15" s="1519"/>
      <c r="R15" s="1520"/>
      <c r="S15" s="1526">
        <f t="shared" si="7"/>
        <v>0</v>
      </c>
    </row>
    <row r="16" spans="1:20" ht="15" customHeight="1" x14ac:dyDescent="0.25">
      <c r="B16" s="481">
        <f t="shared" si="3"/>
        <v>0</v>
      </c>
      <c r="C16" s="624"/>
      <c r="D16" s="1246">
        <v>0</v>
      </c>
      <c r="E16" s="1261"/>
      <c r="F16" s="1525">
        <f t="shared" si="4"/>
        <v>0</v>
      </c>
      <c r="G16" s="1515"/>
      <c r="H16" s="1516"/>
      <c r="I16" s="1526">
        <f t="shared" si="6"/>
        <v>0</v>
      </c>
      <c r="L16" s="481">
        <f t="shared" si="5"/>
        <v>0</v>
      </c>
      <c r="M16" s="624"/>
      <c r="N16" s="565">
        <v>0</v>
      </c>
      <c r="O16" s="640"/>
      <c r="P16" s="1494">
        <f t="shared" si="2"/>
        <v>0</v>
      </c>
      <c r="Q16" s="1519"/>
      <c r="R16" s="1520"/>
      <c r="S16" s="1526">
        <f t="shared" si="7"/>
        <v>0</v>
      </c>
    </row>
    <row r="17" spans="1:19" ht="15" customHeight="1" x14ac:dyDescent="0.25">
      <c r="B17" s="481">
        <f t="shared" si="3"/>
        <v>0</v>
      </c>
      <c r="C17" s="624"/>
      <c r="D17" s="1246">
        <v>0</v>
      </c>
      <c r="E17" s="1261"/>
      <c r="F17" s="1525">
        <f t="shared" si="4"/>
        <v>0</v>
      </c>
      <c r="G17" s="1515"/>
      <c r="H17" s="1516"/>
      <c r="I17" s="1526">
        <f t="shared" si="6"/>
        <v>0</v>
      </c>
      <c r="L17" s="481">
        <f t="shared" si="5"/>
        <v>0</v>
      </c>
      <c r="M17" s="624"/>
      <c r="N17" s="565">
        <v>0</v>
      </c>
      <c r="O17" s="640"/>
      <c r="P17" s="1494">
        <f t="shared" si="2"/>
        <v>0</v>
      </c>
      <c r="Q17" s="1519"/>
      <c r="R17" s="1520"/>
      <c r="S17" s="1526">
        <f t="shared" si="7"/>
        <v>0</v>
      </c>
    </row>
    <row r="18" spans="1:19" ht="15" customHeight="1" x14ac:dyDescent="0.25">
      <c r="B18" s="481">
        <f t="shared" si="3"/>
        <v>0</v>
      </c>
      <c r="C18" s="624"/>
      <c r="D18" s="1246">
        <v>0</v>
      </c>
      <c r="E18" s="1261"/>
      <c r="F18" s="1525">
        <f t="shared" si="4"/>
        <v>0</v>
      </c>
      <c r="G18" s="1515"/>
      <c r="H18" s="1516"/>
      <c r="I18" s="1526">
        <f t="shared" si="6"/>
        <v>0</v>
      </c>
      <c r="L18" s="481">
        <f t="shared" si="5"/>
        <v>0</v>
      </c>
      <c r="M18" s="624"/>
      <c r="N18" s="565">
        <v>0</v>
      </c>
      <c r="O18" s="640"/>
      <c r="P18" s="1494">
        <f t="shared" si="2"/>
        <v>0</v>
      </c>
      <c r="Q18" s="1519"/>
      <c r="R18" s="1520"/>
      <c r="S18" s="1526">
        <f t="shared" si="7"/>
        <v>0</v>
      </c>
    </row>
    <row r="19" spans="1:19" ht="15" customHeight="1" x14ac:dyDescent="0.25">
      <c r="B19" s="481">
        <f t="shared" si="3"/>
        <v>0</v>
      </c>
      <c r="C19" s="624"/>
      <c r="D19" s="1246">
        <v>0</v>
      </c>
      <c r="E19" s="1261"/>
      <c r="F19" s="1525">
        <f t="shared" si="4"/>
        <v>0</v>
      </c>
      <c r="G19" s="1515"/>
      <c r="H19" s="1516"/>
      <c r="I19" s="1526">
        <f t="shared" si="6"/>
        <v>0</v>
      </c>
      <c r="L19" s="481">
        <f t="shared" si="5"/>
        <v>0</v>
      </c>
      <c r="M19" s="624"/>
      <c r="N19" s="565">
        <v>0</v>
      </c>
      <c r="O19" s="640"/>
      <c r="P19" s="596">
        <f t="shared" si="2"/>
        <v>0</v>
      </c>
      <c r="Q19" s="563"/>
      <c r="R19" s="564"/>
      <c r="S19" s="641">
        <f t="shared" si="7"/>
        <v>0</v>
      </c>
    </row>
    <row r="20" spans="1:19" ht="15" customHeight="1" x14ac:dyDescent="0.25">
      <c r="B20" s="481">
        <f t="shared" si="3"/>
        <v>0</v>
      </c>
      <c r="C20" s="15"/>
      <c r="D20" s="1246">
        <v>0</v>
      </c>
      <c r="E20" s="1263"/>
      <c r="F20" s="1525">
        <f t="shared" si="4"/>
        <v>0</v>
      </c>
      <c r="G20" s="1515"/>
      <c r="H20" s="1516"/>
      <c r="I20" s="1526">
        <f t="shared" si="6"/>
        <v>0</v>
      </c>
      <c r="L20" s="481">
        <f t="shared" si="5"/>
        <v>0</v>
      </c>
      <c r="M20" s="15"/>
      <c r="N20" s="565">
        <v>0</v>
      </c>
      <c r="O20" s="231"/>
      <c r="P20" s="596">
        <f t="shared" si="2"/>
        <v>0</v>
      </c>
      <c r="Q20" s="69"/>
      <c r="R20" s="70"/>
      <c r="S20" s="203">
        <f t="shared" si="7"/>
        <v>0</v>
      </c>
    </row>
    <row r="21" spans="1:19" ht="15" customHeight="1" x14ac:dyDescent="0.25">
      <c r="B21" s="481">
        <f t="shared" si="3"/>
        <v>0</v>
      </c>
      <c r="C21" s="15"/>
      <c r="D21" s="1246">
        <v>0</v>
      </c>
      <c r="E21" s="1263"/>
      <c r="F21" s="1262">
        <f t="shared" si="4"/>
        <v>0</v>
      </c>
      <c r="G21" s="1204"/>
      <c r="H21" s="1205"/>
      <c r="I21" s="203">
        <f t="shared" si="6"/>
        <v>0</v>
      </c>
      <c r="L21" s="481">
        <f t="shared" si="5"/>
        <v>0</v>
      </c>
      <c r="M21" s="15"/>
      <c r="N21" s="565">
        <v>0</v>
      </c>
      <c r="O21" s="231"/>
      <c r="P21" s="596">
        <f t="shared" si="2"/>
        <v>0</v>
      </c>
      <c r="Q21" s="69"/>
      <c r="R21" s="70"/>
      <c r="S21" s="203">
        <f t="shared" si="7"/>
        <v>0</v>
      </c>
    </row>
    <row r="22" spans="1:19" ht="15" customHeight="1" x14ac:dyDescent="0.25">
      <c r="B22" s="481">
        <f t="shared" si="3"/>
        <v>0</v>
      </c>
      <c r="C22" s="15"/>
      <c r="D22" s="1246">
        <v>0</v>
      </c>
      <c r="E22" s="1263"/>
      <c r="F22" s="1262">
        <f t="shared" si="4"/>
        <v>0</v>
      </c>
      <c r="G22" s="1204"/>
      <c r="H22" s="1205"/>
      <c r="I22" s="203">
        <f t="shared" si="6"/>
        <v>0</v>
      </c>
      <c r="L22" s="481">
        <f t="shared" si="5"/>
        <v>0</v>
      </c>
      <c r="M22" s="15"/>
      <c r="N22" s="565">
        <v>0</v>
      </c>
      <c r="O22" s="231"/>
      <c r="P22" s="596">
        <f t="shared" si="2"/>
        <v>0</v>
      </c>
      <c r="Q22" s="69"/>
      <c r="R22" s="70"/>
      <c r="S22" s="203">
        <f t="shared" si="7"/>
        <v>0</v>
      </c>
    </row>
    <row r="23" spans="1:19" ht="15" customHeight="1" x14ac:dyDescent="0.25">
      <c r="B23" s="481">
        <f t="shared" si="3"/>
        <v>0</v>
      </c>
      <c r="C23" s="15"/>
      <c r="D23" s="1246">
        <v>0</v>
      </c>
      <c r="E23" s="1263"/>
      <c r="F23" s="1262">
        <f t="shared" si="4"/>
        <v>0</v>
      </c>
      <c r="G23" s="1204"/>
      <c r="H23" s="1205"/>
      <c r="I23" s="203">
        <f t="shared" si="6"/>
        <v>0</v>
      </c>
      <c r="L23" s="481">
        <f t="shared" si="5"/>
        <v>0</v>
      </c>
      <c r="M23" s="15"/>
      <c r="N23" s="565">
        <v>0</v>
      </c>
      <c r="O23" s="231"/>
      <c r="P23" s="596">
        <f t="shared" si="2"/>
        <v>0</v>
      </c>
      <c r="Q23" s="69"/>
      <c r="R23" s="70"/>
      <c r="S23" s="203">
        <f t="shared" si="7"/>
        <v>0</v>
      </c>
    </row>
    <row r="24" spans="1:19" ht="15" customHeight="1" x14ac:dyDescent="0.25">
      <c r="B24" s="481">
        <f t="shared" si="3"/>
        <v>0</v>
      </c>
      <c r="C24" s="15"/>
      <c r="D24" s="1246">
        <v>0</v>
      </c>
      <c r="E24" s="1263"/>
      <c r="F24" s="1262">
        <f t="shared" si="4"/>
        <v>0</v>
      </c>
      <c r="G24" s="1204"/>
      <c r="H24" s="1205"/>
      <c r="I24" s="203">
        <f t="shared" si="6"/>
        <v>0</v>
      </c>
      <c r="L24" s="481">
        <f t="shared" si="5"/>
        <v>0</v>
      </c>
      <c r="M24" s="15"/>
      <c r="N24" s="565">
        <v>0</v>
      </c>
      <c r="O24" s="231"/>
      <c r="P24" s="596">
        <f t="shared" si="2"/>
        <v>0</v>
      </c>
      <c r="Q24" s="69"/>
      <c r="R24" s="70"/>
      <c r="S24" s="203">
        <f t="shared" si="7"/>
        <v>0</v>
      </c>
    </row>
    <row r="25" spans="1:19" ht="15" customHeight="1" x14ac:dyDescent="0.25">
      <c r="B25" s="481">
        <f t="shared" si="3"/>
        <v>0</v>
      </c>
      <c r="C25" s="15"/>
      <c r="D25" s="565">
        <v>0</v>
      </c>
      <c r="E25" s="987"/>
      <c r="F25" s="596">
        <f t="shared" si="4"/>
        <v>0</v>
      </c>
      <c r="G25" s="524"/>
      <c r="H25" s="358"/>
      <c r="I25" s="203">
        <f t="shared" si="6"/>
        <v>0</v>
      </c>
      <c r="L25" s="481">
        <f t="shared" si="5"/>
        <v>0</v>
      </c>
      <c r="M25" s="15"/>
      <c r="N25" s="565">
        <v>0</v>
      </c>
      <c r="O25" s="231"/>
      <c r="P25" s="596">
        <f t="shared" si="2"/>
        <v>0</v>
      </c>
      <c r="Q25" s="69"/>
      <c r="R25" s="70"/>
      <c r="S25" s="203">
        <f t="shared" si="7"/>
        <v>0</v>
      </c>
    </row>
    <row r="26" spans="1:19" ht="15" customHeight="1" x14ac:dyDescent="0.25">
      <c r="B26" s="481">
        <f t="shared" si="3"/>
        <v>0</v>
      </c>
      <c r="C26" s="15"/>
      <c r="D26" s="565">
        <v>0</v>
      </c>
      <c r="E26" s="1080"/>
      <c r="F26" s="596">
        <f t="shared" si="4"/>
        <v>0</v>
      </c>
      <c r="G26" s="803"/>
      <c r="H26" s="804"/>
      <c r="I26" s="641">
        <f t="shared" si="6"/>
        <v>0</v>
      </c>
      <c r="L26" s="481">
        <f t="shared" si="5"/>
        <v>0</v>
      </c>
      <c r="M26" s="15"/>
      <c r="N26" s="565">
        <v>0</v>
      </c>
      <c r="O26" s="640"/>
      <c r="P26" s="596">
        <f t="shared" si="2"/>
        <v>0</v>
      </c>
      <c r="Q26" s="563"/>
      <c r="R26" s="564"/>
      <c r="S26" s="641">
        <f t="shared" si="7"/>
        <v>0</v>
      </c>
    </row>
    <row r="27" spans="1:19" ht="15" customHeight="1" x14ac:dyDescent="0.25">
      <c r="B27" s="481">
        <f t="shared" si="3"/>
        <v>0</v>
      </c>
      <c r="C27" s="15"/>
      <c r="D27" s="565">
        <v>0</v>
      </c>
      <c r="E27" s="1080"/>
      <c r="F27" s="596">
        <f t="shared" si="4"/>
        <v>0</v>
      </c>
      <c r="G27" s="803"/>
      <c r="H27" s="804"/>
      <c r="I27" s="641">
        <f t="shared" si="6"/>
        <v>0</v>
      </c>
      <c r="L27" s="481">
        <f t="shared" si="5"/>
        <v>0</v>
      </c>
      <c r="M27" s="15"/>
      <c r="N27" s="565">
        <v>0</v>
      </c>
      <c r="O27" s="640"/>
      <c r="P27" s="596">
        <f t="shared" si="2"/>
        <v>0</v>
      </c>
      <c r="Q27" s="563"/>
      <c r="R27" s="564"/>
      <c r="S27" s="641">
        <f t="shared" si="7"/>
        <v>0</v>
      </c>
    </row>
    <row r="28" spans="1:19" ht="15" customHeight="1" x14ac:dyDescent="0.25">
      <c r="A28" s="47"/>
      <c r="B28" s="481">
        <f t="shared" si="3"/>
        <v>0</v>
      </c>
      <c r="C28" s="15"/>
      <c r="D28" s="565">
        <v>0</v>
      </c>
      <c r="E28" s="1080"/>
      <c r="F28" s="596">
        <f t="shared" si="4"/>
        <v>0</v>
      </c>
      <c r="G28" s="803"/>
      <c r="H28" s="804"/>
      <c r="I28" s="641">
        <f t="shared" si="6"/>
        <v>0</v>
      </c>
      <c r="K28" s="47"/>
      <c r="L28" s="481">
        <f t="shared" si="5"/>
        <v>0</v>
      </c>
      <c r="M28" s="15"/>
      <c r="N28" s="565">
        <v>0</v>
      </c>
      <c r="O28" s="1080"/>
      <c r="P28" s="596">
        <f t="shared" si="2"/>
        <v>0</v>
      </c>
      <c r="Q28" s="803"/>
      <c r="R28" s="804"/>
      <c r="S28" s="641">
        <f t="shared" si="7"/>
        <v>0</v>
      </c>
    </row>
    <row r="29" spans="1:19" ht="15" customHeight="1" x14ac:dyDescent="0.25">
      <c r="A29" s="47"/>
      <c r="B29" s="481">
        <f t="shared" si="3"/>
        <v>0</v>
      </c>
      <c r="C29" s="15"/>
      <c r="D29" s="565">
        <v>0</v>
      </c>
      <c r="E29" s="1080"/>
      <c r="F29" s="596">
        <f t="shared" si="4"/>
        <v>0</v>
      </c>
      <c r="G29" s="803"/>
      <c r="H29" s="804"/>
      <c r="I29" s="641">
        <f t="shared" si="6"/>
        <v>0</v>
      </c>
      <c r="K29" s="47"/>
      <c r="L29" s="481">
        <f t="shared" si="5"/>
        <v>0</v>
      </c>
      <c r="M29" s="15"/>
      <c r="N29" s="565">
        <v>0</v>
      </c>
      <c r="O29" s="1080"/>
      <c r="P29" s="596">
        <f t="shared" si="2"/>
        <v>0</v>
      </c>
      <c r="Q29" s="803"/>
      <c r="R29" s="804"/>
      <c r="S29" s="641">
        <f t="shared" si="7"/>
        <v>0</v>
      </c>
    </row>
    <row r="30" spans="1:19" ht="15" customHeight="1" x14ac:dyDescent="0.25">
      <c r="A30" s="47"/>
      <c r="B30" s="481">
        <f t="shared" si="3"/>
        <v>0</v>
      </c>
      <c r="C30" s="15"/>
      <c r="D30" s="565">
        <v>0</v>
      </c>
      <c r="E30" s="1080"/>
      <c r="F30" s="596">
        <f t="shared" si="4"/>
        <v>0</v>
      </c>
      <c r="G30" s="803"/>
      <c r="H30" s="804"/>
      <c r="I30" s="641">
        <f t="shared" si="6"/>
        <v>0</v>
      </c>
      <c r="K30" s="47"/>
      <c r="L30" s="481">
        <f t="shared" si="5"/>
        <v>0</v>
      </c>
      <c r="M30" s="15"/>
      <c r="N30" s="565">
        <v>0</v>
      </c>
      <c r="O30" s="1080"/>
      <c r="P30" s="596">
        <f t="shared" si="2"/>
        <v>0</v>
      </c>
      <c r="Q30" s="803"/>
      <c r="R30" s="804"/>
      <c r="S30" s="641">
        <f t="shared" si="7"/>
        <v>0</v>
      </c>
    </row>
    <row r="31" spans="1:19" ht="15" customHeight="1" x14ac:dyDescent="0.25">
      <c r="A31" s="47"/>
      <c r="B31" s="481">
        <f t="shared" si="3"/>
        <v>0</v>
      </c>
      <c r="C31" s="15"/>
      <c r="D31" s="565">
        <v>0</v>
      </c>
      <c r="E31" s="231"/>
      <c r="F31" s="596">
        <f t="shared" si="4"/>
        <v>0</v>
      </c>
      <c r="G31" s="69"/>
      <c r="H31" s="70"/>
      <c r="I31" s="203">
        <f t="shared" si="6"/>
        <v>0</v>
      </c>
      <c r="K31" s="47"/>
      <c r="L31" s="481">
        <f t="shared" si="5"/>
        <v>0</v>
      </c>
      <c r="M31" s="15"/>
      <c r="N31" s="565">
        <v>0</v>
      </c>
      <c r="O31" s="231"/>
      <c r="P31" s="596">
        <f t="shared" si="2"/>
        <v>0</v>
      </c>
      <c r="Q31" s="69"/>
      <c r="R31" s="70"/>
      <c r="S31" s="203">
        <f t="shared" si="7"/>
        <v>0</v>
      </c>
    </row>
    <row r="32" spans="1:19" ht="15" customHeight="1" x14ac:dyDescent="0.25">
      <c r="A32" s="47"/>
      <c r="B32" s="481">
        <f t="shared" si="3"/>
        <v>0</v>
      </c>
      <c r="C32" s="15"/>
      <c r="D32" s="565">
        <v>0</v>
      </c>
      <c r="E32" s="231"/>
      <c r="F32" s="596">
        <f t="shared" si="4"/>
        <v>0</v>
      </c>
      <c r="G32" s="69"/>
      <c r="H32" s="70"/>
      <c r="I32" s="203">
        <f t="shared" si="6"/>
        <v>0</v>
      </c>
      <c r="K32" s="47"/>
      <c r="L32" s="481">
        <f t="shared" si="5"/>
        <v>0</v>
      </c>
      <c r="M32" s="15"/>
      <c r="N32" s="565">
        <v>0</v>
      </c>
      <c r="O32" s="231"/>
      <c r="P32" s="596">
        <f t="shared" si="2"/>
        <v>0</v>
      </c>
      <c r="Q32" s="69"/>
      <c r="R32" s="70"/>
      <c r="S32" s="203">
        <f t="shared" si="7"/>
        <v>0</v>
      </c>
    </row>
    <row r="33" spans="1:19" ht="15" customHeight="1" x14ac:dyDescent="0.25">
      <c r="A33" s="47"/>
      <c r="B33" s="481">
        <f t="shared" si="3"/>
        <v>0</v>
      </c>
      <c r="C33" s="15"/>
      <c r="D33" s="565">
        <v>0</v>
      </c>
      <c r="E33" s="231"/>
      <c r="F33" s="596">
        <f t="shared" si="4"/>
        <v>0</v>
      </c>
      <c r="G33" s="69"/>
      <c r="H33" s="70"/>
      <c r="I33" s="203">
        <f t="shared" si="6"/>
        <v>0</v>
      </c>
      <c r="K33" s="47"/>
      <c r="L33" s="481">
        <f t="shared" si="5"/>
        <v>0</v>
      </c>
      <c r="M33" s="15"/>
      <c r="N33" s="565">
        <v>0</v>
      </c>
      <c r="O33" s="231"/>
      <c r="P33" s="596">
        <f t="shared" si="2"/>
        <v>0</v>
      </c>
      <c r="Q33" s="69"/>
      <c r="R33" s="70"/>
      <c r="S33" s="203">
        <f t="shared" si="7"/>
        <v>0</v>
      </c>
    </row>
    <row r="34" spans="1:19" ht="15" customHeight="1" x14ac:dyDescent="0.25">
      <c r="A34" s="47"/>
      <c r="B34" s="481">
        <f t="shared" si="3"/>
        <v>0</v>
      </c>
      <c r="C34" s="15"/>
      <c r="D34" s="565">
        <v>0</v>
      </c>
      <c r="E34" s="231"/>
      <c r="F34" s="596">
        <f t="shared" si="4"/>
        <v>0</v>
      </c>
      <c r="G34" s="69"/>
      <c r="H34" s="70"/>
      <c r="I34" s="203">
        <f t="shared" si="6"/>
        <v>0</v>
      </c>
      <c r="K34" s="47"/>
      <c r="L34" s="481">
        <f t="shared" si="5"/>
        <v>0</v>
      </c>
      <c r="M34" s="15"/>
      <c r="N34" s="565">
        <v>0</v>
      </c>
      <c r="O34" s="231"/>
      <c r="P34" s="596">
        <f t="shared" si="2"/>
        <v>0</v>
      </c>
      <c r="Q34" s="69"/>
      <c r="R34" s="70"/>
      <c r="S34" s="203">
        <f t="shared" si="7"/>
        <v>0</v>
      </c>
    </row>
    <row r="35" spans="1:19" ht="15.75" thickBot="1" x14ac:dyDescent="0.3">
      <c r="A35" s="117"/>
      <c r="B35" s="481">
        <f t="shared" si="3"/>
        <v>0</v>
      </c>
      <c r="C35" s="37"/>
      <c r="D35" s="565">
        <v>0</v>
      </c>
      <c r="E35" s="192"/>
      <c r="F35" s="596">
        <f t="shared" si="4"/>
        <v>0</v>
      </c>
      <c r="G35" s="135"/>
      <c r="H35" s="189"/>
      <c r="I35" s="223"/>
      <c r="K35" s="117"/>
      <c r="L35" s="481">
        <f t="shared" si="5"/>
        <v>0</v>
      </c>
      <c r="M35" s="37"/>
      <c r="N35" s="565">
        <v>0</v>
      </c>
      <c r="O35" s="192"/>
      <c r="P35" s="596">
        <f t="shared" si="2"/>
        <v>0</v>
      </c>
      <c r="Q35" s="135"/>
      <c r="R35" s="189"/>
      <c r="S35" s="223"/>
    </row>
    <row r="36" spans="1:19" ht="15.75" thickTop="1" x14ac:dyDescent="0.25">
      <c r="A36" s="47">
        <f>SUM(A28:A35)</f>
        <v>0</v>
      </c>
      <c r="C36" s="1146">
        <f>SUM(C8:C35)</f>
        <v>32</v>
      </c>
      <c r="D36" s="102">
        <f>SUM(D8:D35)</f>
        <v>501.76</v>
      </c>
      <c r="E36" s="74"/>
      <c r="F36" s="102">
        <f>SUM(F8:F35)</f>
        <v>501.76</v>
      </c>
      <c r="K36" s="47">
        <f>SUM(K28:K35)</f>
        <v>0</v>
      </c>
      <c r="M36" s="1225">
        <f>SUM(M8:M35)</f>
        <v>39</v>
      </c>
      <c r="N36" s="102">
        <f>SUM(N8:N35)</f>
        <v>496.20000000000005</v>
      </c>
      <c r="O36" s="74"/>
      <c r="P36" s="102">
        <f>SUM(P8:P35)</f>
        <v>496.20000000000005</v>
      </c>
    </row>
    <row r="37" spans="1:19" ht="15.75" thickBot="1" x14ac:dyDescent="0.3">
      <c r="A37" s="47"/>
      <c r="K37" s="47"/>
    </row>
    <row r="38" spans="1:19" x14ac:dyDescent="0.25">
      <c r="B38" s="480"/>
      <c r="D38" s="1655" t="s">
        <v>21</v>
      </c>
      <c r="E38" s="1656"/>
      <c r="F38" s="137">
        <f>E4+E5-F36+E6</f>
        <v>0</v>
      </c>
      <c r="L38" s="480"/>
      <c r="N38" s="1655" t="s">
        <v>21</v>
      </c>
      <c r="O38" s="1656"/>
      <c r="P38" s="137">
        <f>O4+O5-P36+O6</f>
        <v>-5.6843418860808015E-14</v>
      </c>
    </row>
    <row r="39" spans="1:19" ht="15.75" thickBot="1" x14ac:dyDescent="0.3">
      <c r="A39" s="121"/>
      <c r="D39" s="1143" t="s">
        <v>4</v>
      </c>
      <c r="E39" s="1144"/>
      <c r="F39" s="49">
        <f>F4+F5-C36+F6</f>
        <v>0</v>
      </c>
      <c r="K39" s="121"/>
      <c r="N39" s="1221" t="s">
        <v>4</v>
      </c>
      <c r="O39" s="1222"/>
      <c r="P39" s="49">
        <f>P4+P5-M36+P6</f>
        <v>0</v>
      </c>
    </row>
    <row r="40" spans="1:19" x14ac:dyDescent="0.25">
      <c r="B40" s="480"/>
      <c r="L40" s="480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99"/>
      <c r="B4" s="799"/>
      <c r="C4" s="799"/>
      <c r="D4" s="799"/>
      <c r="E4" s="988"/>
      <c r="F4" s="566"/>
      <c r="G4" s="800"/>
      <c r="H4" s="800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671"/>
      <c r="B6" s="1686" t="s">
        <v>96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671"/>
      <c r="B7" s="1687"/>
      <c r="C7" s="152"/>
      <c r="D7" s="145"/>
      <c r="E7" s="128"/>
      <c r="F7" s="72"/>
    </row>
    <row r="8" spans="1:10" ht="16.5" customHeight="1" thickTop="1" thickBot="1" x14ac:dyDescent="0.3">
      <c r="A8" s="317"/>
      <c r="B8" s="784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809">
        <f>F6-C9+F5+F7+F4</f>
        <v>0</v>
      </c>
      <c r="C9" s="624"/>
      <c r="D9" s="565">
        <v>0</v>
      </c>
      <c r="E9" s="640"/>
      <c r="F9" s="596">
        <f t="shared" ref="F9" si="0">D9</f>
        <v>0</v>
      </c>
      <c r="G9" s="564"/>
      <c r="H9" s="594"/>
      <c r="I9" s="843">
        <f>E5+E6+E7-F9+E4</f>
        <v>0</v>
      </c>
      <c r="J9" s="1001">
        <f t="shared" ref="J9:J40" si="1">G9*F9</f>
        <v>0</v>
      </c>
    </row>
    <row r="10" spans="1:10" ht="15.75" x14ac:dyDescent="0.25">
      <c r="B10" s="670">
        <f>B9-C10</f>
        <v>0</v>
      </c>
      <c r="C10" s="576"/>
      <c r="D10" s="565">
        <f t="shared" ref="D10:D32" si="2">20*C10</f>
        <v>0</v>
      </c>
      <c r="E10" s="640"/>
      <c r="F10" s="596">
        <f t="shared" ref="F10:F32" si="3">D10</f>
        <v>0</v>
      </c>
      <c r="G10" s="564"/>
      <c r="H10" s="594"/>
      <c r="I10" s="597">
        <f>I9-F10</f>
        <v>0</v>
      </c>
      <c r="J10" s="598">
        <f t="shared" si="1"/>
        <v>0</v>
      </c>
    </row>
    <row r="11" spans="1:10" ht="15.75" x14ac:dyDescent="0.25">
      <c r="B11" s="670">
        <f t="shared" ref="B11:B40" si="4">B10-C11</f>
        <v>0</v>
      </c>
      <c r="C11" s="624"/>
      <c r="D11" s="565">
        <f t="shared" si="2"/>
        <v>0</v>
      </c>
      <c r="E11" s="640"/>
      <c r="F11" s="596">
        <f t="shared" si="3"/>
        <v>0</v>
      </c>
      <c r="G11" s="564"/>
      <c r="H11" s="594"/>
      <c r="I11" s="597">
        <f t="shared" ref="I11:I39" si="5">I10-F11</f>
        <v>0</v>
      </c>
      <c r="J11" s="598">
        <f t="shared" si="1"/>
        <v>0</v>
      </c>
    </row>
    <row r="12" spans="1:10" ht="15.75" x14ac:dyDescent="0.25">
      <c r="A12" s="54" t="s">
        <v>33</v>
      </c>
      <c r="B12" s="670">
        <f t="shared" si="4"/>
        <v>0</v>
      </c>
      <c r="C12" s="624"/>
      <c r="D12" s="565">
        <f t="shared" si="2"/>
        <v>0</v>
      </c>
      <c r="E12" s="640"/>
      <c r="F12" s="596">
        <f t="shared" si="3"/>
        <v>0</v>
      </c>
      <c r="G12" s="564"/>
      <c r="H12" s="594"/>
      <c r="I12" s="597">
        <f t="shared" si="5"/>
        <v>0</v>
      </c>
      <c r="J12" s="598">
        <f t="shared" si="1"/>
        <v>0</v>
      </c>
    </row>
    <row r="13" spans="1:10" ht="15.75" x14ac:dyDescent="0.25">
      <c r="B13" s="670">
        <f t="shared" si="4"/>
        <v>0</v>
      </c>
      <c r="C13" s="624"/>
      <c r="D13" s="565">
        <f t="shared" si="2"/>
        <v>0</v>
      </c>
      <c r="E13" s="640"/>
      <c r="F13" s="596">
        <f t="shared" si="3"/>
        <v>0</v>
      </c>
      <c r="G13" s="564"/>
      <c r="H13" s="594"/>
      <c r="I13" s="597">
        <f t="shared" si="5"/>
        <v>0</v>
      </c>
      <c r="J13" s="598">
        <f t="shared" si="1"/>
        <v>0</v>
      </c>
    </row>
    <row r="14" spans="1:10" ht="15.75" x14ac:dyDescent="0.25">
      <c r="A14" s="19"/>
      <c r="B14" s="670">
        <f t="shared" si="4"/>
        <v>0</v>
      </c>
      <c r="C14" s="624"/>
      <c r="D14" s="565">
        <f t="shared" si="2"/>
        <v>0</v>
      </c>
      <c r="E14" s="640"/>
      <c r="F14" s="596">
        <f t="shared" si="3"/>
        <v>0</v>
      </c>
      <c r="G14" s="564"/>
      <c r="H14" s="594"/>
      <c r="I14" s="597">
        <f t="shared" si="5"/>
        <v>0</v>
      </c>
      <c r="J14" s="598">
        <f t="shared" si="1"/>
        <v>0</v>
      </c>
    </row>
    <row r="15" spans="1:10" ht="15.75" x14ac:dyDescent="0.25">
      <c r="B15" s="670">
        <f t="shared" si="4"/>
        <v>0</v>
      </c>
      <c r="C15" s="723"/>
      <c r="D15" s="565">
        <f t="shared" si="2"/>
        <v>0</v>
      </c>
      <c r="E15" s="640"/>
      <c r="F15" s="596">
        <f t="shared" si="3"/>
        <v>0</v>
      </c>
      <c r="G15" s="564"/>
      <c r="H15" s="594"/>
      <c r="I15" s="597">
        <f t="shared" si="5"/>
        <v>0</v>
      </c>
      <c r="J15" s="598">
        <f t="shared" si="1"/>
        <v>0</v>
      </c>
    </row>
    <row r="16" spans="1:10" ht="15.75" x14ac:dyDescent="0.25">
      <c r="B16" s="670">
        <f t="shared" si="4"/>
        <v>0</v>
      </c>
      <c r="C16" s="576"/>
      <c r="D16" s="565">
        <f t="shared" si="2"/>
        <v>0</v>
      </c>
      <c r="E16" s="640"/>
      <c r="F16" s="596">
        <f t="shared" si="3"/>
        <v>0</v>
      </c>
      <c r="G16" s="564"/>
      <c r="H16" s="594"/>
      <c r="I16" s="597">
        <f t="shared" si="5"/>
        <v>0</v>
      </c>
      <c r="J16" s="598">
        <f t="shared" si="1"/>
        <v>0</v>
      </c>
    </row>
    <row r="17" spans="1:10" ht="15.75" x14ac:dyDescent="0.25">
      <c r="B17" s="670">
        <f t="shared" si="4"/>
        <v>0</v>
      </c>
      <c r="C17" s="576"/>
      <c r="D17" s="565">
        <f t="shared" si="2"/>
        <v>0</v>
      </c>
      <c r="E17" s="640"/>
      <c r="F17" s="596">
        <f t="shared" si="3"/>
        <v>0</v>
      </c>
      <c r="G17" s="564"/>
      <c r="H17" s="594"/>
      <c r="I17" s="597">
        <f t="shared" si="5"/>
        <v>0</v>
      </c>
      <c r="J17" s="598">
        <f t="shared" si="1"/>
        <v>0</v>
      </c>
    </row>
    <row r="18" spans="1:10" ht="15.75" x14ac:dyDescent="0.25">
      <c r="B18" s="670">
        <f t="shared" si="4"/>
        <v>0</v>
      </c>
      <c r="C18" s="576"/>
      <c r="D18" s="565">
        <f t="shared" si="2"/>
        <v>0</v>
      </c>
      <c r="E18" s="640"/>
      <c r="F18" s="596">
        <f t="shared" si="3"/>
        <v>0</v>
      </c>
      <c r="G18" s="564"/>
      <c r="H18" s="594"/>
      <c r="I18" s="597">
        <f t="shared" si="5"/>
        <v>0</v>
      </c>
      <c r="J18" s="598">
        <f t="shared" si="1"/>
        <v>0</v>
      </c>
    </row>
    <row r="19" spans="1:10" ht="15.75" x14ac:dyDescent="0.25">
      <c r="B19" s="670">
        <f t="shared" si="4"/>
        <v>0</v>
      </c>
      <c r="C19" s="576"/>
      <c r="D19" s="565">
        <f t="shared" si="2"/>
        <v>0</v>
      </c>
      <c r="E19" s="640"/>
      <c r="F19" s="596">
        <f t="shared" si="3"/>
        <v>0</v>
      </c>
      <c r="G19" s="564"/>
      <c r="H19" s="594"/>
      <c r="I19" s="597">
        <f t="shared" si="5"/>
        <v>0</v>
      </c>
      <c r="J19" s="598">
        <f t="shared" si="1"/>
        <v>0</v>
      </c>
    </row>
    <row r="20" spans="1:10" ht="15.75" x14ac:dyDescent="0.25">
      <c r="B20" s="670">
        <f t="shared" si="4"/>
        <v>0</v>
      </c>
      <c r="C20" s="576"/>
      <c r="D20" s="565">
        <f t="shared" si="2"/>
        <v>0</v>
      </c>
      <c r="E20" s="640"/>
      <c r="F20" s="596">
        <f t="shared" si="3"/>
        <v>0</v>
      </c>
      <c r="G20" s="564"/>
      <c r="H20" s="594"/>
      <c r="I20" s="597">
        <f t="shared" si="5"/>
        <v>0</v>
      </c>
      <c r="J20" s="598">
        <f t="shared" si="1"/>
        <v>0</v>
      </c>
    </row>
    <row r="21" spans="1:10" ht="15.75" x14ac:dyDescent="0.25">
      <c r="B21" s="670">
        <f t="shared" si="4"/>
        <v>0</v>
      </c>
      <c r="C21" s="576"/>
      <c r="D21" s="565">
        <f t="shared" si="2"/>
        <v>0</v>
      </c>
      <c r="E21" s="640"/>
      <c r="F21" s="596">
        <f t="shared" si="3"/>
        <v>0</v>
      </c>
      <c r="G21" s="564"/>
      <c r="H21" s="594"/>
      <c r="I21" s="597">
        <f t="shared" si="5"/>
        <v>0</v>
      </c>
      <c r="J21" s="598">
        <f t="shared" si="1"/>
        <v>0</v>
      </c>
    </row>
    <row r="22" spans="1:10" ht="15.75" x14ac:dyDescent="0.25">
      <c r="B22" s="670">
        <f t="shared" si="4"/>
        <v>0</v>
      </c>
      <c r="C22" s="576"/>
      <c r="D22" s="565">
        <f t="shared" si="2"/>
        <v>0</v>
      </c>
      <c r="E22" s="640"/>
      <c r="F22" s="596">
        <f t="shared" si="3"/>
        <v>0</v>
      </c>
      <c r="G22" s="564"/>
      <c r="H22" s="594"/>
      <c r="I22" s="597">
        <f t="shared" si="5"/>
        <v>0</v>
      </c>
      <c r="J22" s="598">
        <f t="shared" si="1"/>
        <v>0</v>
      </c>
    </row>
    <row r="23" spans="1:10" ht="15.75" x14ac:dyDescent="0.25">
      <c r="B23" s="670">
        <f t="shared" si="4"/>
        <v>0</v>
      </c>
      <c r="C23" s="576"/>
      <c r="D23" s="565">
        <f t="shared" si="2"/>
        <v>0</v>
      </c>
      <c r="E23" s="640"/>
      <c r="F23" s="596">
        <f t="shared" si="3"/>
        <v>0</v>
      </c>
      <c r="G23" s="564"/>
      <c r="H23" s="594"/>
      <c r="I23" s="597">
        <f t="shared" si="5"/>
        <v>0</v>
      </c>
      <c r="J23" s="598">
        <f t="shared" si="1"/>
        <v>0</v>
      </c>
    </row>
    <row r="24" spans="1:10" ht="15.75" x14ac:dyDescent="0.25">
      <c r="B24" s="670">
        <f t="shared" si="4"/>
        <v>0</v>
      </c>
      <c r="C24" s="576"/>
      <c r="D24" s="565">
        <f t="shared" si="2"/>
        <v>0</v>
      </c>
      <c r="E24" s="640"/>
      <c r="F24" s="596">
        <f t="shared" si="3"/>
        <v>0</v>
      </c>
      <c r="G24" s="564"/>
      <c r="H24" s="594"/>
      <c r="I24" s="597">
        <f t="shared" si="5"/>
        <v>0</v>
      </c>
      <c r="J24" s="598">
        <f t="shared" si="1"/>
        <v>0</v>
      </c>
    </row>
    <row r="25" spans="1:10" ht="15.75" x14ac:dyDescent="0.25">
      <c r="B25" s="670">
        <f t="shared" si="4"/>
        <v>0</v>
      </c>
      <c r="C25" s="576"/>
      <c r="D25" s="565">
        <f t="shared" si="2"/>
        <v>0</v>
      </c>
      <c r="E25" s="640"/>
      <c r="F25" s="596">
        <f t="shared" si="3"/>
        <v>0</v>
      </c>
      <c r="G25" s="564"/>
      <c r="H25" s="594"/>
      <c r="I25" s="597">
        <f t="shared" si="5"/>
        <v>0</v>
      </c>
      <c r="J25" s="598">
        <f t="shared" si="1"/>
        <v>0</v>
      </c>
    </row>
    <row r="26" spans="1:10" ht="15.75" x14ac:dyDescent="0.25">
      <c r="B26" s="670">
        <f t="shared" si="4"/>
        <v>0</v>
      </c>
      <c r="C26" s="576"/>
      <c r="D26" s="565">
        <f t="shared" si="2"/>
        <v>0</v>
      </c>
      <c r="E26" s="640"/>
      <c r="F26" s="596">
        <f t="shared" si="3"/>
        <v>0</v>
      </c>
      <c r="G26" s="564"/>
      <c r="H26" s="594"/>
      <c r="I26" s="597">
        <f t="shared" si="5"/>
        <v>0</v>
      </c>
      <c r="J26" s="598">
        <f t="shared" si="1"/>
        <v>0</v>
      </c>
    </row>
    <row r="27" spans="1:10" ht="15.75" x14ac:dyDescent="0.25">
      <c r="B27" s="670">
        <f t="shared" si="4"/>
        <v>0</v>
      </c>
      <c r="C27" s="576"/>
      <c r="D27" s="565">
        <f t="shared" si="2"/>
        <v>0</v>
      </c>
      <c r="E27" s="640"/>
      <c r="F27" s="596">
        <f t="shared" si="3"/>
        <v>0</v>
      </c>
      <c r="G27" s="564"/>
      <c r="H27" s="594"/>
      <c r="I27" s="597">
        <f t="shared" si="5"/>
        <v>0</v>
      </c>
      <c r="J27" s="598">
        <f t="shared" si="1"/>
        <v>0</v>
      </c>
    </row>
    <row r="28" spans="1:10" ht="15.75" x14ac:dyDescent="0.25">
      <c r="B28" s="670">
        <f t="shared" si="4"/>
        <v>0</v>
      </c>
      <c r="C28" s="576"/>
      <c r="D28" s="565">
        <f t="shared" si="2"/>
        <v>0</v>
      </c>
      <c r="E28" s="640"/>
      <c r="F28" s="596">
        <f t="shared" si="3"/>
        <v>0</v>
      </c>
      <c r="G28" s="564"/>
      <c r="H28" s="594"/>
      <c r="I28" s="597">
        <f t="shared" si="5"/>
        <v>0</v>
      </c>
      <c r="J28" s="598">
        <f t="shared" si="1"/>
        <v>0</v>
      </c>
    </row>
    <row r="29" spans="1:10" ht="15.75" x14ac:dyDescent="0.25">
      <c r="B29" s="670">
        <f t="shared" si="4"/>
        <v>0</v>
      </c>
      <c r="C29" s="576"/>
      <c r="D29" s="565">
        <f t="shared" si="2"/>
        <v>0</v>
      </c>
      <c r="E29" s="640"/>
      <c r="F29" s="596">
        <f t="shared" si="3"/>
        <v>0</v>
      </c>
      <c r="G29" s="564"/>
      <c r="H29" s="594"/>
      <c r="I29" s="597">
        <f t="shared" si="5"/>
        <v>0</v>
      </c>
      <c r="J29" s="598">
        <f t="shared" si="1"/>
        <v>0</v>
      </c>
    </row>
    <row r="30" spans="1:10" ht="15.75" x14ac:dyDescent="0.25">
      <c r="A30" s="47"/>
      <c r="B30" s="670">
        <f t="shared" si="4"/>
        <v>0</v>
      </c>
      <c r="C30" s="576"/>
      <c r="D30" s="565">
        <f t="shared" si="2"/>
        <v>0</v>
      </c>
      <c r="E30" s="640"/>
      <c r="F30" s="596">
        <f t="shared" si="3"/>
        <v>0</v>
      </c>
      <c r="G30" s="564"/>
      <c r="H30" s="594"/>
      <c r="I30" s="597">
        <f t="shared" si="5"/>
        <v>0</v>
      </c>
      <c r="J30" s="598">
        <f t="shared" si="1"/>
        <v>0</v>
      </c>
    </row>
    <row r="31" spans="1:10" ht="15.75" x14ac:dyDescent="0.25">
      <c r="A31" s="47"/>
      <c r="B31" s="670">
        <f t="shared" si="4"/>
        <v>0</v>
      </c>
      <c r="C31" s="576"/>
      <c r="D31" s="565">
        <f t="shared" si="2"/>
        <v>0</v>
      </c>
      <c r="E31" s="640"/>
      <c r="F31" s="596">
        <f t="shared" si="3"/>
        <v>0</v>
      </c>
      <c r="G31" s="564"/>
      <c r="H31" s="594"/>
      <c r="I31" s="597">
        <f t="shared" si="5"/>
        <v>0</v>
      </c>
      <c r="J31" s="598">
        <f t="shared" si="1"/>
        <v>0</v>
      </c>
    </row>
    <row r="32" spans="1:10" ht="15.75" x14ac:dyDescent="0.25">
      <c r="A32" s="47"/>
      <c r="B32" s="670">
        <f t="shared" si="4"/>
        <v>0</v>
      </c>
      <c r="C32" s="576"/>
      <c r="D32" s="565">
        <f t="shared" si="2"/>
        <v>0</v>
      </c>
      <c r="E32" s="640"/>
      <c r="F32" s="596">
        <f t="shared" si="3"/>
        <v>0</v>
      </c>
      <c r="G32" s="564"/>
      <c r="H32" s="594"/>
      <c r="I32" s="597">
        <f t="shared" si="5"/>
        <v>0</v>
      </c>
      <c r="J32" s="598">
        <f t="shared" si="1"/>
        <v>0</v>
      </c>
    </row>
    <row r="33" spans="1:10" ht="15.75" x14ac:dyDescent="0.25">
      <c r="A33" s="47"/>
      <c r="B33" s="670">
        <f t="shared" si="4"/>
        <v>0</v>
      </c>
      <c r="C33" s="576"/>
      <c r="D33" s="565">
        <f t="shared" ref="D33:D40" si="6">20*C33</f>
        <v>0</v>
      </c>
      <c r="E33" s="640"/>
      <c r="F33" s="596">
        <f t="shared" ref="F33:F40" si="7">D33</f>
        <v>0</v>
      </c>
      <c r="G33" s="710"/>
      <c r="H33" s="594"/>
      <c r="I33" s="597">
        <f t="shared" si="5"/>
        <v>0</v>
      </c>
      <c r="J33" s="598">
        <f t="shared" si="1"/>
        <v>0</v>
      </c>
    </row>
    <row r="34" spans="1:10" ht="15.75" x14ac:dyDescent="0.25">
      <c r="A34" s="47"/>
      <c r="B34" s="670">
        <f t="shared" si="4"/>
        <v>0</v>
      </c>
      <c r="C34" s="576"/>
      <c r="D34" s="565">
        <f t="shared" si="6"/>
        <v>0</v>
      </c>
      <c r="E34" s="640"/>
      <c r="F34" s="596">
        <f t="shared" si="7"/>
        <v>0</v>
      </c>
      <c r="G34" s="710"/>
      <c r="H34" s="594"/>
      <c r="I34" s="597">
        <f t="shared" si="5"/>
        <v>0</v>
      </c>
      <c r="J34" s="598">
        <f t="shared" si="1"/>
        <v>0</v>
      </c>
    </row>
    <row r="35" spans="1:10" ht="15.75" x14ac:dyDescent="0.25">
      <c r="A35" s="47"/>
      <c r="B35" s="670">
        <f t="shared" si="4"/>
        <v>0</v>
      </c>
      <c r="C35" s="576"/>
      <c r="D35" s="565">
        <f t="shared" si="6"/>
        <v>0</v>
      </c>
      <c r="E35" s="640"/>
      <c r="F35" s="596">
        <f t="shared" si="7"/>
        <v>0</v>
      </c>
      <c r="G35" s="710"/>
      <c r="H35" s="594"/>
      <c r="I35" s="597">
        <f t="shared" si="5"/>
        <v>0</v>
      </c>
      <c r="J35" s="598">
        <f t="shared" si="1"/>
        <v>0</v>
      </c>
    </row>
    <row r="36" spans="1:10" ht="15.75" x14ac:dyDescent="0.25">
      <c r="A36" s="47"/>
      <c r="B36" s="670">
        <f t="shared" si="4"/>
        <v>0</v>
      </c>
      <c r="C36" s="576"/>
      <c r="D36" s="565">
        <f t="shared" si="6"/>
        <v>0</v>
      </c>
      <c r="E36" s="640"/>
      <c r="F36" s="596">
        <f t="shared" si="7"/>
        <v>0</v>
      </c>
      <c r="G36" s="710"/>
      <c r="H36" s="594"/>
      <c r="I36" s="597">
        <f t="shared" si="5"/>
        <v>0</v>
      </c>
      <c r="J36" s="598">
        <f t="shared" si="1"/>
        <v>0</v>
      </c>
    </row>
    <row r="37" spans="1:10" ht="15.75" x14ac:dyDescent="0.25">
      <c r="A37" s="47"/>
      <c r="B37" s="670">
        <f t="shared" si="4"/>
        <v>0</v>
      </c>
      <c r="C37" s="576"/>
      <c r="D37" s="565">
        <f t="shared" si="6"/>
        <v>0</v>
      </c>
      <c r="E37" s="640"/>
      <c r="F37" s="596">
        <f t="shared" si="7"/>
        <v>0</v>
      </c>
      <c r="G37" s="564"/>
      <c r="H37" s="594"/>
      <c r="I37" s="597">
        <f t="shared" si="5"/>
        <v>0</v>
      </c>
      <c r="J37" s="598">
        <f t="shared" si="1"/>
        <v>0</v>
      </c>
    </row>
    <row r="38" spans="1:10" ht="15.75" x14ac:dyDescent="0.25">
      <c r="A38" s="47"/>
      <c r="B38" s="670">
        <f t="shared" si="4"/>
        <v>0</v>
      </c>
      <c r="C38" s="576"/>
      <c r="D38" s="565">
        <f t="shared" si="6"/>
        <v>0</v>
      </c>
      <c r="E38" s="640"/>
      <c r="F38" s="596">
        <f t="shared" si="7"/>
        <v>0</v>
      </c>
      <c r="G38" s="564"/>
      <c r="H38" s="594"/>
      <c r="I38" s="597">
        <f t="shared" si="5"/>
        <v>0</v>
      </c>
      <c r="J38" s="59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3">
        <f t="shared" si="5"/>
        <v>0</v>
      </c>
      <c r="J39" s="422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9"/>
      <c r="J40" s="420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655" t="s">
        <v>21</v>
      </c>
      <c r="E43" s="1656"/>
      <c r="F43" s="137">
        <f>E5+E6-F41+E7</f>
        <v>0</v>
      </c>
    </row>
    <row r="44" spans="1:10" ht="15.75" thickBot="1" x14ac:dyDescent="0.3">
      <c r="A44" s="121"/>
      <c r="D44" s="816" t="s">
        <v>4</v>
      </c>
      <c r="E44" s="817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671"/>
      <c r="B5" s="1688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671"/>
      <c r="B6" s="1689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70">
        <f>F4+F5+F6-C8</f>
        <v>0</v>
      </c>
      <c r="C8" s="624"/>
      <c r="D8" s="565">
        <v>0</v>
      </c>
      <c r="E8" s="578"/>
      <c r="F8" s="596">
        <f t="shared" ref="F8:F28" si="0">D8</f>
        <v>0</v>
      </c>
      <c r="G8" s="563"/>
      <c r="H8" s="564"/>
      <c r="I8" s="828">
        <f>E5+E6-F8+E4</f>
        <v>0</v>
      </c>
      <c r="J8" s="829">
        <f>H8*F8</f>
        <v>0</v>
      </c>
    </row>
    <row r="9" spans="1:15" x14ac:dyDescent="0.25">
      <c r="B9" s="670">
        <f>B8-C9</f>
        <v>0</v>
      </c>
      <c r="C9" s="624"/>
      <c r="D9" s="565">
        <v>0</v>
      </c>
      <c r="E9" s="578"/>
      <c r="F9" s="596">
        <f t="shared" si="0"/>
        <v>0</v>
      </c>
      <c r="G9" s="563"/>
      <c r="H9" s="564"/>
      <c r="I9" s="828">
        <f>I8-F9</f>
        <v>0</v>
      </c>
      <c r="J9" s="829">
        <f t="shared" ref="J9:J28" si="1">H9*F9</f>
        <v>0</v>
      </c>
      <c r="K9" s="594"/>
    </row>
    <row r="10" spans="1:15" x14ac:dyDescent="0.25">
      <c r="B10" s="670">
        <f t="shared" ref="B10:B27" si="2">B9-C10</f>
        <v>0</v>
      </c>
      <c r="C10" s="624"/>
      <c r="D10" s="565">
        <v>0</v>
      </c>
      <c r="E10" s="578"/>
      <c r="F10" s="596">
        <f t="shared" si="0"/>
        <v>0</v>
      </c>
      <c r="G10" s="563"/>
      <c r="H10" s="564"/>
      <c r="I10" s="1081">
        <f t="shared" ref="I10:I27" si="3">I9-F10</f>
        <v>0</v>
      </c>
      <c r="J10" s="829">
        <f t="shared" si="1"/>
        <v>0</v>
      </c>
      <c r="K10" s="594"/>
    </row>
    <row r="11" spans="1:15" x14ac:dyDescent="0.25">
      <c r="A11" s="54" t="s">
        <v>33</v>
      </c>
      <c r="B11" s="670">
        <f t="shared" si="2"/>
        <v>0</v>
      </c>
      <c r="C11" s="624"/>
      <c r="D11" s="565">
        <v>0</v>
      </c>
      <c r="E11" s="578"/>
      <c r="F11" s="596">
        <f t="shared" si="0"/>
        <v>0</v>
      </c>
      <c r="G11" s="563"/>
      <c r="H11" s="564"/>
      <c r="I11" s="1081">
        <f t="shared" si="3"/>
        <v>0</v>
      </c>
      <c r="J11" s="829">
        <f t="shared" si="1"/>
        <v>0</v>
      </c>
      <c r="K11" s="594"/>
    </row>
    <row r="12" spans="1:15" x14ac:dyDescent="0.25">
      <c r="B12" s="670">
        <f t="shared" si="2"/>
        <v>0</v>
      </c>
      <c r="C12" s="624"/>
      <c r="D12" s="565">
        <v>0</v>
      </c>
      <c r="E12" s="578"/>
      <c r="F12" s="596">
        <f t="shared" si="0"/>
        <v>0</v>
      </c>
      <c r="G12" s="563"/>
      <c r="H12" s="564"/>
      <c r="I12" s="1081">
        <f t="shared" si="3"/>
        <v>0</v>
      </c>
      <c r="J12" s="829">
        <f t="shared" si="1"/>
        <v>0</v>
      </c>
      <c r="K12" s="594"/>
    </row>
    <row r="13" spans="1:15" x14ac:dyDescent="0.25">
      <c r="A13" s="19"/>
      <c r="B13" s="670">
        <f t="shared" si="2"/>
        <v>0</v>
      </c>
      <c r="C13" s="624"/>
      <c r="D13" s="565">
        <v>0</v>
      </c>
      <c r="E13" s="578"/>
      <c r="F13" s="596">
        <f t="shared" si="0"/>
        <v>0</v>
      </c>
      <c r="G13" s="563"/>
      <c r="H13" s="564"/>
      <c r="I13" s="830">
        <f t="shared" si="3"/>
        <v>0</v>
      </c>
      <c r="J13" s="829">
        <f t="shared" si="1"/>
        <v>0</v>
      </c>
      <c r="K13" s="594"/>
    </row>
    <row r="14" spans="1:15" x14ac:dyDescent="0.25">
      <c r="A14" s="19"/>
      <c r="B14" s="670">
        <f t="shared" si="2"/>
        <v>0</v>
      </c>
      <c r="C14" s="624"/>
      <c r="D14" s="565">
        <v>0</v>
      </c>
      <c r="E14" s="578"/>
      <c r="F14" s="596">
        <f t="shared" si="0"/>
        <v>0</v>
      </c>
      <c r="G14" s="563"/>
      <c r="H14" s="564"/>
      <c r="I14" s="830">
        <f t="shared" si="3"/>
        <v>0</v>
      </c>
      <c r="J14" s="829">
        <f t="shared" si="1"/>
        <v>0</v>
      </c>
      <c r="K14" s="594"/>
    </row>
    <row r="15" spans="1:15" x14ac:dyDescent="0.25">
      <c r="A15" s="19"/>
      <c r="B15" s="670">
        <f t="shared" si="2"/>
        <v>0</v>
      </c>
      <c r="C15" s="624"/>
      <c r="D15" s="565">
        <v>0</v>
      </c>
      <c r="E15" s="578"/>
      <c r="F15" s="596">
        <f t="shared" si="0"/>
        <v>0</v>
      </c>
      <c r="G15" s="563"/>
      <c r="H15" s="564"/>
      <c r="I15" s="830">
        <f t="shared" si="3"/>
        <v>0</v>
      </c>
      <c r="J15" s="829">
        <f t="shared" si="1"/>
        <v>0</v>
      </c>
      <c r="K15" s="594"/>
    </row>
    <row r="16" spans="1:15" x14ac:dyDescent="0.25">
      <c r="A16" s="19"/>
      <c r="B16" s="670">
        <f t="shared" si="2"/>
        <v>0</v>
      </c>
      <c r="C16" s="624"/>
      <c r="D16" s="565">
        <v>0</v>
      </c>
      <c r="E16" s="578"/>
      <c r="F16" s="596">
        <f t="shared" si="0"/>
        <v>0</v>
      </c>
      <c r="G16" s="563"/>
      <c r="H16" s="564"/>
      <c r="I16" s="830">
        <f t="shared" si="3"/>
        <v>0</v>
      </c>
      <c r="J16" s="829">
        <f t="shared" si="1"/>
        <v>0</v>
      </c>
    </row>
    <row r="17" spans="1:10" x14ac:dyDescent="0.25">
      <c r="A17" s="19"/>
      <c r="B17" s="670">
        <f t="shared" si="2"/>
        <v>0</v>
      </c>
      <c r="C17" s="624"/>
      <c r="D17" s="565">
        <v>0</v>
      </c>
      <c r="E17" s="578"/>
      <c r="F17" s="596">
        <f t="shared" si="0"/>
        <v>0</v>
      </c>
      <c r="G17" s="563"/>
      <c r="H17" s="564"/>
      <c r="I17" s="830">
        <f t="shared" si="3"/>
        <v>0</v>
      </c>
      <c r="J17" s="829">
        <f t="shared" si="1"/>
        <v>0</v>
      </c>
    </row>
    <row r="18" spans="1:10" x14ac:dyDescent="0.25">
      <c r="A18" s="19"/>
      <c r="B18" s="670">
        <f t="shared" si="2"/>
        <v>0</v>
      </c>
      <c r="C18" s="624"/>
      <c r="D18" s="565">
        <v>0</v>
      </c>
      <c r="E18" s="578"/>
      <c r="F18" s="596">
        <f t="shared" si="0"/>
        <v>0</v>
      </c>
      <c r="G18" s="563"/>
      <c r="H18" s="564"/>
      <c r="I18" s="830">
        <f t="shared" si="3"/>
        <v>0</v>
      </c>
      <c r="J18" s="829">
        <f t="shared" si="1"/>
        <v>0</v>
      </c>
    </row>
    <row r="19" spans="1:10" x14ac:dyDescent="0.25">
      <c r="A19" s="19"/>
      <c r="B19" s="670">
        <f t="shared" si="2"/>
        <v>0</v>
      </c>
      <c r="C19" s="624"/>
      <c r="D19" s="565">
        <v>0</v>
      </c>
      <c r="E19" s="578"/>
      <c r="F19" s="596">
        <f t="shared" si="0"/>
        <v>0</v>
      </c>
      <c r="G19" s="563"/>
      <c r="H19" s="564"/>
      <c r="I19" s="830">
        <f t="shared" si="3"/>
        <v>0</v>
      </c>
      <c r="J19" s="829">
        <f t="shared" si="1"/>
        <v>0</v>
      </c>
    </row>
    <row r="20" spans="1:10" x14ac:dyDescent="0.25">
      <c r="A20" s="19"/>
      <c r="B20" s="670">
        <f t="shared" si="2"/>
        <v>0</v>
      </c>
      <c r="C20" s="624"/>
      <c r="D20" s="565">
        <v>0</v>
      </c>
      <c r="E20" s="578"/>
      <c r="F20" s="596">
        <f t="shared" si="0"/>
        <v>0</v>
      </c>
      <c r="G20" s="563"/>
      <c r="H20" s="564"/>
      <c r="I20" s="830">
        <f t="shared" si="3"/>
        <v>0</v>
      </c>
      <c r="J20" s="829">
        <f t="shared" si="1"/>
        <v>0</v>
      </c>
    </row>
    <row r="21" spans="1:10" x14ac:dyDescent="0.25">
      <c r="A21" s="19"/>
      <c r="B21" s="670">
        <f t="shared" si="2"/>
        <v>0</v>
      </c>
      <c r="C21" s="624"/>
      <c r="D21" s="565">
        <v>0</v>
      </c>
      <c r="E21" s="578"/>
      <c r="F21" s="596">
        <f t="shared" si="0"/>
        <v>0</v>
      </c>
      <c r="G21" s="563"/>
      <c r="H21" s="564"/>
      <c r="I21" s="830">
        <f t="shared" si="3"/>
        <v>0</v>
      </c>
      <c r="J21" s="829">
        <f t="shared" si="1"/>
        <v>0</v>
      </c>
    </row>
    <row r="22" spans="1:10" x14ac:dyDescent="0.25">
      <c r="A22" s="19"/>
      <c r="B22" s="670">
        <f t="shared" si="2"/>
        <v>0</v>
      </c>
      <c r="C22" s="624"/>
      <c r="D22" s="565">
        <v>0</v>
      </c>
      <c r="E22" s="578"/>
      <c r="F22" s="596">
        <f t="shared" si="0"/>
        <v>0</v>
      </c>
      <c r="G22" s="563"/>
      <c r="H22" s="564"/>
      <c r="I22" s="830">
        <f t="shared" si="3"/>
        <v>0</v>
      </c>
      <c r="J22" s="829">
        <f t="shared" si="1"/>
        <v>0</v>
      </c>
    </row>
    <row r="23" spans="1:10" x14ac:dyDescent="0.25">
      <c r="A23" s="19"/>
      <c r="B23" s="670">
        <f t="shared" si="2"/>
        <v>0</v>
      </c>
      <c r="C23" s="624"/>
      <c r="D23" s="565">
        <v>0</v>
      </c>
      <c r="E23" s="578"/>
      <c r="F23" s="596">
        <f t="shared" si="0"/>
        <v>0</v>
      </c>
      <c r="G23" s="563"/>
      <c r="H23" s="564"/>
      <c r="I23" s="830">
        <f t="shared" si="3"/>
        <v>0</v>
      </c>
      <c r="J23" s="829">
        <f t="shared" si="1"/>
        <v>0</v>
      </c>
    </row>
    <row r="24" spans="1:10" x14ac:dyDescent="0.25">
      <c r="A24" s="19"/>
      <c r="B24" s="670">
        <f t="shared" si="2"/>
        <v>0</v>
      </c>
      <c r="C24" s="624"/>
      <c r="D24" s="565">
        <v>0</v>
      </c>
      <c r="E24" s="578"/>
      <c r="F24" s="596">
        <f t="shared" si="0"/>
        <v>0</v>
      </c>
      <c r="G24" s="563"/>
      <c r="H24" s="564"/>
      <c r="I24" s="830">
        <f t="shared" si="3"/>
        <v>0</v>
      </c>
      <c r="J24" s="829">
        <f t="shared" si="1"/>
        <v>0</v>
      </c>
    </row>
    <row r="25" spans="1:10" x14ac:dyDescent="0.25">
      <c r="A25" s="19"/>
      <c r="B25" s="670">
        <f t="shared" si="2"/>
        <v>0</v>
      </c>
      <c r="C25" s="624"/>
      <c r="D25" s="565">
        <v>0</v>
      </c>
      <c r="E25" s="578"/>
      <c r="F25" s="596">
        <f t="shared" si="0"/>
        <v>0</v>
      </c>
      <c r="G25" s="563"/>
      <c r="H25" s="564"/>
      <c r="I25" s="830">
        <f t="shared" si="3"/>
        <v>0</v>
      </c>
      <c r="J25" s="829">
        <f t="shared" si="1"/>
        <v>0</v>
      </c>
    </row>
    <row r="26" spans="1:10" x14ac:dyDescent="0.25">
      <c r="A26" s="19"/>
      <c r="B26" s="670">
        <f t="shared" si="2"/>
        <v>0</v>
      </c>
      <c r="C26" s="624"/>
      <c r="D26" s="565">
        <v>0</v>
      </c>
      <c r="E26" s="578"/>
      <c r="F26" s="596">
        <f t="shared" si="0"/>
        <v>0</v>
      </c>
      <c r="G26" s="563"/>
      <c r="H26" s="564"/>
      <c r="I26" s="830">
        <f t="shared" si="3"/>
        <v>0</v>
      </c>
      <c r="J26" s="829">
        <f t="shared" si="1"/>
        <v>0</v>
      </c>
    </row>
    <row r="27" spans="1:10" x14ac:dyDescent="0.25">
      <c r="B27" s="670">
        <f t="shared" si="2"/>
        <v>0</v>
      </c>
      <c r="C27" s="624"/>
      <c r="D27" s="565">
        <v>0</v>
      </c>
      <c r="E27" s="578"/>
      <c r="F27" s="596">
        <f t="shared" si="0"/>
        <v>0</v>
      </c>
      <c r="G27" s="563"/>
      <c r="H27" s="564"/>
      <c r="I27" s="830">
        <f t="shared" si="3"/>
        <v>0</v>
      </c>
      <c r="J27" s="82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55" t="s">
        <v>21</v>
      </c>
      <c r="E31" s="1656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B1" zoomScaleNormal="100" workbookViewId="0">
      <pane ySplit="7" topLeftCell="A8" activePane="bottomLeft" state="frozen"/>
      <selection activeCell="AO1" sqref="AO1"/>
      <selection pane="bottomLeft" activeCell="HB1" sqref="HB1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3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3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3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3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3" bestFit="1" customWidth="1"/>
    <col min="80" max="80" width="13.85546875" style="363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3" bestFit="1" customWidth="1"/>
    <col min="90" max="90" width="11.42578125" style="363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3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3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3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3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3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3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3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3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3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3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3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3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3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3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3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3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3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3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3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3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3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3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3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3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662" t="s">
        <v>306</v>
      </c>
      <c r="L1" s="1662"/>
      <c r="M1" s="1662"/>
      <c r="N1" s="1662"/>
      <c r="O1" s="1662"/>
      <c r="P1" s="1662"/>
      <c r="Q1" s="1662"/>
      <c r="R1" s="254">
        <f>I1+1</f>
        <v>1</v>
      </c>
      <c r="S1" s="254"/>
      <c r="U1" s="1659" t="s">
        <v>307</v>
      </c>
      <c r="V1" s="1659"/>
      <c r="W1" s="1659"/>
      <c r="X1" s="1659"/>
      <c r="Y1" s="1659"/>
      <c r="Z1" s="1659"/>
      <c r="AA1" s="1659"/>
      <c r="AB1" s="254">
        <f>R1+1</f>
        <v>2</v>
      </c>
      <c r="AC1" s="364"/>
      <c r="AE1" s="1659" t="str">
        <f>U1</f>
        <v xml:space="preserve">ENTRADA DEL MES DE  JULIO   2023 </v>
      </c>
      <c r="AF1" s="1659"/>
      <c r="AG1" s="1659"/>
      <c r="AH1" s="1659"/>
      <c r="AI1" s="1659"/>
      <c r="AJ1" s="1659"/>
      <c r="AK1" s="1659"/>
      <c r="AL1" s="254">
        <f>AB1+1</f>
        <v>3</v>
      </c>
      <c r="AM1" s="254"/>
      <c r="AO1" s="1659" t="str">
        <f>AE1</f>
        <v xml:space="preserve">ENTRADA DEL MES DE  JULIO   2023 </v>
      </c>
      <c r="AP1" s="1659"/>
      <c r="AQ1" s="1659"/>
      <c r="AR1" s="1659"/>
      <c r="AS1" s="1659"/>
      <c r="AT1" s="1659"/>
      <c r="AU1" s="1659"/>
      <c r="AV1" s="254">
        <f>AL1+1</f>
        <v>4</v>
      </c>
      <c r="AW1" s="364"/>
      <c r="AY1" s="1659" t="str">
        <f>AO1</f>
        <v xml:space="preserve">ENTRADA DEL MES DE  JULIO   2023 </v>
      </c>
      <c r="AZ1" s="1659"/>
      <c r="BA1" s="1659"/>
      <c r="BB1" s="1659"/>
      <c r="BC1" s="1659"/>
      <c r="BD1" s="1659"/>
      <c r="BE1" s="1659"/>
      <c r="BF1" s="254">
        <f>AV1+1</f>
        <v>5</v>
      </c>
      <c r="BG1" s="377"/>
      <c r="BI1" s="1659" t="str">
        <f>AY1</f>
        <v xml:space="preserve">ENTRADA DEL MES DE  JULIO   2023 </v>
      </c>
      <c r="BJ1" s="1659"/>
      <c r="BK1" s="1659"/>
      <c r="BL1" s="1659"/>
      <c r="BM1" s="1659"/>
      <c r="BN1" s="1659"/>
      <c r="BO1" s="1659"/>
      <c r="BP1" s="254">
        <f>BF1+1</f>
        <v>6</v>
      </c>
      <c r="BQ1" s="364"/>
      <c r="BS1" s="1659" t="str">
        <f>BI1</f>
        <v xml:space="preserve">ENTRADA DEL MES DE  JULIO   2023 </v>
      </c>
      <c r="BT1" s="1659"/>
      <c r="BU1" s="1659"/>
      <c r="BV1" s="1659"/>
      <c r="BW1" s="1659"/>
      <c r="BX1" s="1659"/>
      <c r="BY1" s="1659"/>
      <c r="BZ1" s="254">
        <f>BP1+1</f>
        <v>7</v>
      </c>
      <c r="CC1" s="1659" t="str">
        <f>BS1</f>
        <v xml:space="preserve">ENTRADA DEL MES DE  JULIO   2023 </v>
      </c>
      <c r="CD1" s="1659"/>
      <c r="CE1" s="1659"/>
      <c r="CF1" s="1659"/>
      <c r="CG1" s="1659"/>
      <c r="CH1" s="1659"/>
      <c r="CI1" s="1659"/>
      <c r="CJ1" s="254">
        <f>BZ1+1</f>
        <v>8</v>
      </c>
      <c r="CM1" s="1659" t="str">
        <f>CC1</f>
        <v xml:space="preserve">ENTRADA DEL MES DE  JULIO   2023 </v>
      </c>
      <c r="CN1" s="1659"/>
      <c r="CO1" s="1659"/>
      <c r="CP1" s="1659"/>
      <c r="CQ1" s="1659"/>
      <c r="CR1" s="1659"/>
      <c r="CS1" s="1659"/>
      <c r="CT1" s="254">
        <f>CJ1+1</f>
        <v>9</v>
      </c>
      <c r="CU1" s="364"/>
      <c r="CW1" s="1659" t="str">
        <f>CM1</f>
        <v xml:space="preserve">ENTRADA DEL MES DE  JULIO   2023 </v>
      </c>
      <c r="CX1" s="1659"/>
      <c r="CY1" s="1659"/>
      <c r="CZ1" s="1659"/>
      <c r="DA1" s="1659"/>
      <c r="DB1" s="1659"/>
      <c r="DC1" s="1659"/>
      <c r="DD1" s="254">
        <f>CT1+1</f>
        <v>10</v>
      </c>
      <c r="DE1" s="364"/>
      <c r="DG1" s="1659" t="str">
        <f>CW1</f>
        <v xml:space="preserve">ENTRADA DEL MES DE  JULIO   2023 </v>
      </c>
      <c r="DH1" s="1659"/>
      <c r="DI1" s="1659"/>
      <c r="DJ1" s="1659"/>
      <c r="DK1" s="1659"/>
      <c r="DL1" s="1659"/>
      <c r="DM1" s="1659"/>
      <c r="DN1" s="254">
        <f>DD1+1</f>
        <v>11</v>
      </c>
      <c r="DO1" s="364"/>
      <c r="DQ1" s="1659" t="str">
        <f>DG1</f>
        <v xml:space="preserve">ENTRADA DEL MES DE  JULIO   2023 </v>
      </c>
      <c r="DR1" s="1659"/>
      <c r="DS1" s="1659"/>
      <c r="DT1" s="1659"/>
      <c r="DU1" s="1659"/>
      <c r="DV1" s="1659"/>
      <c r="DW1" s="1659"/>
      <c r="DX1" s="254">
        <f>DN1+1</f>
        <v>12</v>
      </c>
      <c r="EA1" s="1659" t="str">
        <f>DQ1</f>
        <v xml:space="preserve">ENTRADA DEL MES DE  JULIO   2023 </v>
      </c>
      <c r="EB1" s="1659"/>
      <c r="EC1" s="1659"/>
      <c r="ED1" s="1659"/>
      <c r="EE1" s="1659"/>
      <c r="EF1" s="1659"/>
      <c r="EG1" s="1659"/>
      <c r="EH1" s="254">
        <f>DX1+1</f>
        <v>13</v>
      </c>
      <c r="EI1" s="364"/>
      <c r="EK1" s="1659" t="str">
        <f>EA1</f>
        <v xml:space="preserve">ENTRADA DEL MES DE  JULIO   2023 </v>
      </c>
      <c r="EL1" s="1659"/>
      <c r="EM1" s="1659"/>
      <c r="EN1" s="1659"/>
      <c r="EO1" s="1659"/>
      <c r="EP1" s="1659"/>
      <c r="EQ1" s="1659"/>
      <c r="ER1" s="254">
        <f>EH1+1</f>
        <v>14</v>
      </c>
      <c r="ES1" s="364"/>
      <c r="EU1" s="1659" t="str">
        <f>EK1</f>
        <v xml:space="preserve">ENTRADA DEL MES DE  JULIO   2023 </v>
      </c>
      <c r="EV1" s="1659"/>
      <c r="EW1" s="1659"/>
      <c r="EX1" s="1659"/>
      <c r="EY1" s="1659"/>
      <c r="EZ1" s="1659"/>
      <c r="FA1" s="1659"/>
      <c r="FB1" s="254">
        <f>ER1+1</f>
        <v>15</v>
      </c>
      <c r="FC1" s="364"/>
      <c r="FE1" s="1659" t="str">
        <f>EU1</f>
        <v xml:space="preserve">ENTRADA DEL MES DE  JULIO   2023 </v>
      </c>
      <c r="FF1" s="1659"/>
      <c r="FG1" s="1659"/>
      <c r="FH1" s="1659"/>
      <c r="FI1" s="1659"/>
      <c r="FJ1" s="1659"/>
      <c r="FK1" s="1659"/>
      <c r="FL1" s="254">
        <f>FB1+1</f>
        <v>16</v>
      </c>
      <c r="FM1" s="364"/>
      <c r="FO1" s="1659" t="str">
        <f>FE1</f>
        <v xml:space="preserve">ENTRADA DEL MES DE  JULIO   2023 </v>
      </c>
      <c r="FP1" s="1659"/>
      <c r="FQ1" s="1659"/>
      <c r="FR1" s="1659"/>
      <c r="FS1" s="1659"/>
      <c r="FT1" s="1659"/>
      <c r="FU1" s="1659"/>
      <c r="FV1" s="254">
        <f>FL1+1</f>
        <v>17</v>
      </c>
      <c r="FW1" s="364"/>
      <c r="FY1" s="1659" t="str">
        <f>FO1</f>
        <v xml:space="preserve">ENTRADA DEL MES DE  JULIO   2023 </v>
      </c>
      <c r="FZ1" s="1659"/>
      <c r="GA1" s="1659"/>
      <c r="GB1" s="1659"/>
      <c r="GC1" s="1659"/>
      <c r="GD1" s="1659"/>
      <c r="GE1" s="1659"/>
      <c r="GF1" s="254">
        <f>FV1+1</f>
        <v>18</v>
      </c>
      <c r="GG1" s="364"/>
      <c r="GH1" s="74" t="s">
        <v>37</v>
      </c>
      <c r="GI1" s="1659" t="str">
        <f>FY1</f>
        <v xml:space="preserve">ENTRADA DEL MES DE  JULIO   2023 </v>
      </c>
      <c r="GJ1" s="1659"/>
      <c r="GK1" s="1659"/>
      <c r="GL1" s="1659"/>
      <c r="GM1" s="1659"/>
      <c r="GN1" s="1659"/>
      <c r="GO1" s="1659"/>
      <c r="GP1" s="254">
        <f>GF1+1</f>
        <v>19</v>
      </c>
      <c r="GQ1" s="364"/>
      <c r="GS1" s="1659" t="str">
        <f>GI1</f>
        <v xml:space="preserve">ENTRADA DEL MES DE  JULIO   2023 </v>
      </c>
      <c r="GT1" s="1659"/>
      <c r="GU1" s="1659"/>
      <c r="GV1" s="1659"/>
      <c r="GW1" s="1659"/>
      <c r="GX1" s="1659"/>
      <c r="GY1" s="1659"/>
      <c r="GZ1" s="254">
        <f>GP1+1</f>
        <v>20</v>
      </c>
      <c r="HA1" s="364"/>
      <c r="HC1" s="1659" t="str">
        <f>GS1</f>
        <v xml:space="preserve">ENTRADA DEL MES DE  JULIO   2023 </v>
      </c>
      <c r="HD1" s="1659"/>
      <c r="HE1" s="1659"/>
      <c r="HF1" s="1659"/>
      <c r="HG1" s="1659"/>
      <c r="HH1" s="1659"/>
      <c r="HI1" s="1659"/>
      <c r="HJ1" s="254">
        <f>GZ1+1</f>
        <v>21</v>
      </c>
      <c r="HK1" s="364"/>
      <c r="HM1" s="1659" t="str">
        <f>HC1</f>
        <v xml:space="preserve">ENTRADA DEL MES DE  JULIO   2023 </v>
      </c>
      <c r="HN1" s="1659"/>
      <c r="HO1" s="1659"/>
      <c r="HP1" s="1659"/>
      <c r="HQ1" s="1659"/>
      <c r="HR1" s="1659"/>
      <c r="HS1" s="1659"/>
      <c r="HT1" s="254">
        <f>HJ1+1</f>
        <v>22</v>
      </c>
      <c r="HU1" s="364"/>
      <c r="HW1" s="1659" t="str">
        <f>HM1</f>
        <v xml:space="preserve">ENTRADA DEL MES DE  JULIO   2023 </v>
      </c>
      <c r="HX1" s="1659"/>
      <c r="HY1" s="1659"/>
      <c r="HZ1" s="1659"/>
      <c r="IA1" s="1659"/>
      <c r="IB1" s="1659"/>
      <c r="IC1" s="1659"/>
      <c r="ID1" s="254">
        <f>HT1+1</f>
        <v>23</v>
      </c>
      <c r="IE1" s="364"/>
      <c r="IG1" s="1659" t="str">
        <f>HW1</f>
        <v xml:space="preserve">ENTRADA DEL MES DE  JULIO   2023 </v>
      </c>
      <c r="IH1" s="1659"/>
      <c r="II1" s="1659"/>
      <c r="IJ1" s="1659"/>
      <c r="IK1" s="1659"/>
      <c r="IL1" s="1659"/>
      <c r="IM1" s="1659"/>
      <c r="IN1" s="254">
        <f>ID1+1</f>
        <v>24</v>
      </c>
      <c r="IO1" s="364"/>
      <c r="IQ1" s="1659" t="str">
        <f>IG1</f>
        <v xml:space="preserve">ENTRADA DEL MES DE  JULIO   2023 </v>
      </c>
      <c r="IR1" s="1659"/>
      <c r="IS1" s="1659"/>
      <c r="IT1" s="1659"/>
      <c r="IU1" s="1659"/>
      <c r="IV1" s="1659"/>
      <c r="IW1" s="1659"/>
      <c r="IX1" s="254">
        <f>IN1+1</f>
        <v>25</v>
      </c>
      <c r="IY1" s="364"/>
      <c r="JA1" s="1659" t="str">
        <f>IQ1</f>
        <v xml:space="preserve">ENTRADA DEL MES DE  JULIO   2023 </v>
      </c>
      <c r="JB1" s="1659"/>
      <c r="JC1" s="1659"/>
      <c r="JD1" s="1659"/>
      <c r="JE1" s="1659"/>
      <c r="JF1" s="1659"/>
      <c r="JG1" s="1659"/>
      <c r="JH1" s="254">
        <f>IX1+1</f>
        <v>26</v>
      </c>
      <c r="JI1" s="364"/>
      <c r="JK1" s="1660" t="str">
        <f>JA1</f>
        <v xml:space="preserve">ENTRADA DEL MES DE  JULIO   2023 </v>
      </c>
      <c r="JL1" s="1660"/>
      <c r="JM1" s="1660"/>
      <c r="JN1" s="1660"/>
      <c r="JO1" s="1660"/>
      <c r="JP1" s="1660"/>
      <c r="JQ1" s="1660"/>
      <c r="JR1" s="254">
        <f>JH1+1</f>
        <v>27</v>
      </c>
      <c r="JS1" s="364"/>
      <c r="JU1" s="1659" t="str">
        <f>JK1</f>
        <v xml:space="preserve">ENTRADA DEL MES DE  JULIO   2023 </v>
      </c>
      <c r="JV1" s="1659"/>
      <c r="JW1" s="1659"/>
      <c r="JX1" s="1659"/>
      <c r="JY1" s="1659"/>
      <c r="JZ1" s="1659"/>
      <c r="KA1" s="1659"/>
      <c r="KB1" s="254">
        <f>JR1+1</f>
        <v>28</v>
      </c>
      <c r="KC1" s="364"/>
      <c r="KE1" s="1659" t="str">
        <f>JU1</f>
        <v xml:space="preserve">ENTRADA DEL MES DE  JULIO   2023 </v>
      </c>
      <c r="KF1" s="1659"/>
      <c r="KG1" s="1659"/>
      <c r="KH1" s="1659"/>
      <c r="KI1" s="1659"/>
      <c r="KJ1" s="1659"/>
      <c r="KK1" s="1659"/>
      <c r="KL1" s="254">
        <f>KB1+1</f>
        <v>29</v>
      </c>
      <c r="KM1" s="364"/>
      <c r="KO1" s="1659" t="str">
        <f>KE1</f>
        <v xml:space="preserve">ENTRADA DEL MES DE  JULIO   2023 </v>
      </c>
      <c r="KP1" s="1659"/>
      <c r="KQ1" s="1659"/>
      <c r="KR1" s="1659"/>
      <c r="KS1" s="1659"/>
      <c r="KT1" s="1659"/>
      <c r="KU1" s="1659"/>
      <c r="KV1" s="254">
        <f>KL1+1</f>
        <v>30</v>
      </c>
      <c r="KW1" s="364"/>
      <c r="KY1" s="1659" t="str">
        <f>KO1</f>
        <v xml:space="preserve">ENTRADA DEL MES DE  JULIO   2023 </v>
      </c>
      <c r="KZ1" s="1659"/>
      <c r="LA1" s="1659"/>
      <c r="LB1" s="1659"/>
      <c r="LC1" s="1659"/>
      <c r="LD1" s="1659"/>
      <c r="LE1" s="1659"/>
      <c r="LF1" s="254">
        <f>KV1+1</f>
        <v>31</v>
      </c>
      <c r="LG1" s="364"/>
      <c r="LI1" s="1659" t="str">
        <f>KY1</f>
        <v xml:space="preserve">ENTRADA DEL MES DE  JULIO   2023 </v>
      </c>
      <c r="LJ1" s="1659"/>
      <c r="LK1" s="1659"/>
      <c r="LL1" s="1659"/>
      <c r="LM1" s="1659"/>
      <c r="LN1" s="1659"/>
      <c r="LO1" s="1659"/>
      <c r="LP1" s="254">
        <f>LF1+1</f>
        <v>32</v>
      </c>
      <c r="LQ1" s="364"/>
      <c r="LS1" s="1659" t="str">
        <f>LI1</f>
        <v xml:space="preserve">ENTRADA DEL MES DE  JULIO   2023 </v>
      </c>
      <c r="LT1" s="1659"/>
      <c r="LU1" s="1659"/>
      <c r="LV1" s="1659"/>
      <c r="LW1" s="1659"/>
      <c r="LX1" s="1659"/>
      <c r="LY1" s="1659"/>
      <c r="LZ1" s="254">
        <f>LP1+1</f>
        <v>33</v>
      </c>
      <c r="MC1" s="1659" t="str">
        <f>LS1</f>
        <v xml:space="preserve">ENTRADA DEL MES DE  JULIO   2023 </v>
      </c>
      <c r="MD1" s="1659"/>
      <c r="ME1" s="1659"/>
      <c r="MF1" s="1659"/>
      <c r="MG1" s="1659"/>
      <c r="MH1" s="1659"/>
      <c r="MI1" s="1659"/>
      <c r="MJ1" s="254">
        <f>LZ1+1</f>
        <v>34</v>
      </c>
      <c r="MK1" s="254"/>
      <c r="MM1" s="1659" t="str">
        <f>MC1</f>
        <v xml:space="preserve">ENTRADA DEL MES DE  JULIO   2023 </v>
      </c>
      <c r="MN1" s="1659"/>
      <c r="MO1" s="1659"/>
      <c r="MP1" s="1659"/>
      <c r="MQ1" s="1659"/>
      <c r="MR1" s="1659"/>
      <c r="MS1" s="1659"/>
      <c r="MT1" s="254">
        <f>MJ1+1</f>
        <v>35</v>
      </c>
      <c r="MU1" s="254"/>
      <c r="MW1" s="1659" t="str">
        <f>MM1</f>
        <v xml:space="preserve">ENTRADA DEL MES DE  JULIO   2023 </v>
      </c>
      <c r="MX1" s="1659"/>
      <c r="MY1" s="1659"/>
      <c r="MZ1" s="1659"/>
      <c r="NA1" s="1659"/>
      <c r="NB1" s="1659"/>
      <c r="NC1" s="1659"/>
      <c r="ND1" s="254">
        <f>MT1+1</f>
        <v>36</v>
      </c>
      <c r="NE1" s="254"/>
      <c r="NG1" s="1659" t="str">
        <f>MW1</f>
        <v xml:space="preserve">ENTRADA DEL MES DE  JULIO   2023 </v>
      </c>
      <c r="NH1" s="1659"/>
      <c r="NI1" s="1659"/>
      <c r="NJ1" s="1659"/>
      <c r="NK1" s="1659"/>
      <c r="NL1" s="1659"/>
      <c r="NM1" s="1659"/>
      <c r="NN1" s="254">
        <f>ND1+1</f>
        <v>37</v>
      </c>
      <c r="NO1" s="254"/>
      <c r="NQ1" s="1659" t="str">
        <f>NG1</f>
        <v xml:space="preserve">ENTRADA DEL MES DE  JULIO   2023 </v>
      </c>
      <c r="NR1" s="1659"/>
      <c r="NS1" s="1659"/>
      <c r="NT1" s="1659"/>
      <c r="NU1" s="1659"/>
      <c r="NV1" s="1659"/>
      <c r="NW1" s="1659"/>
      <c r="NX1" s="254">
        <f>NN1+1</f>
        <v>38</v>
      </c>
      <c r="NY1" s="254"/>
      <c r="OA1" s="1659" t="str">
        <f>NQ1</f>
        <v xml:space="preserve">ENTRADA DEL MES DE  JULIO   2023 </v>
      </c>
      <c r="OB1" s="1659"/>
      <c r="OC1" s="1659"/>
      <c r="OD1" s="1659"/>
      <c r="OE1" s="1659"/>
      <c r="OF1" s="1659"/>
      <c r="OG1" s="1659"/>
      <c r="OH1" s="254">
        <f>NX1+1</f>
        <v>39</v>
      </c>
      <c r="OI1" s="254"/>
      <c r="OK1" s="1659" t="str">
        <f>OA1</f>
        <v xml:space="preserve">ENTRADA DEL MES DE  JULIO   2023 </v>
      </c>
      <c r="OL1" s="1659"/>
      <c r="OM1" s="1659"/>
      <c r="ON1" s="1659"/>
      <c r="OO1" s="1659"/>
      <c r="OP1" s="1659"/>
      <c r="OQ1" s="1659"/>
      <c r="OR1" s="254">
        <f>OH1+1</f>
        <v>40</v>
      </c>
      <c r="OS1" s="254"/>
      <c r="OU1" s="1659" t="str">
        <f>OK1</f>
        <v xml:space="preserve">ENTRADA DEL MES DE  JULIO   2023 </v>
      </c>
      <c r="OV1" s="1659"/>
      <c r="OW1" s="1659"/>
      <c r="OX1" s="1659"/>
      <c r="OY1" s="1659"/>
      <c r="OZ1" s="1659"/>
      <c r="PA1" s="1659"/>
      <c r="PB1" s="254">
        <f>OR1+1</f>
        <v>41</v>
      </c>
      <c r="PC1" s="254"/>
      <c r="PE1" s="1659" t="str">
        <f>OU1</f>
        <v xml:space="preserve">ENTRADA DEL MES DE  JULIO   2023 </v>
      </c>
      <c r="PF1" s="1659"/>
      <c r="PG1" s="1659"/>
      <c r="PH1" s="1659"/>
      <c r="PI1" s="1659"/>
      <c r="PJ1" s="1659"/>
      <c r="PK1" s="1659"/>
      <c r="PL1" s="254">
        <f>PB1+1</f>
        <v>42</v>
      </c>
      <c r="PM1" s="254"/>
      <c r="PN1" s="254"/>
      <c r="PP1" s="1659" t="str">
        <f>PE1</f>
        <v xml:space="preserve">ENTRADA DEL MES DE  JULIO   2023 </v>
      </c>
      <c r="PQ1" s="1659"/>
      <c r="PR1" s="1659"/>
      <c r="PS1" s="1659"/>
      <c r="PT1" s="1659"/>
      <c r="PU1" s="1659"/>
      <c r="PV1" s="1659"/>
      <c r="PW1" s="254">
        <f>PL1+1</f>
        <v>43</v>
      </c>
      <c r="PX1" s="254"/>
      <c r="PZ1" s="1659" t="str">
        <f>PP1</f>
        <v xml:space="preserve">ENTRADA DEL MES DE  JULIO   2023 </v>
      </c>
      <c r="QA1" s="1659"/>
      <c r="QB1" s="1659"/>
      <c r="QC1" s="1659"/>
      <c r="QD1" s="1659"/>
      <c r="QE1" s="1659"/>
      <c r="QF1" s="1659"/>
      <c r="QG1" s="254">
        <f>PW1+1</f>
        <v>44</v>
      </c>
      <c r="QH1" s="254"/>
      <c r="QJ1" s="1659" t="str">
        <f>PZ1</f>
        <v xml:space="preserve">ENTRADA DEL MES DE  JULIO   2023 </v>
      </c>
      <c r="QK1" s="1659"/>
      <c r="QL1" s="1659"/>
      <c r="QM1" s="1659"/>
      <c r="QN1" s="1659"/>
      <c r="QO1" s="1659"/>
      <c r="QP1" s="1659"/>
      <c r="QQ1" s="254">
        <f>QG1+1</f>
        <v>45</v>
      </c>
      <c r="QR1" s="254"/>
      <c r="QT1" s="1659" t="str">
        <f>QJ1</f>
        <v xml:space="preserve">ENTRADA DEL MES DE  JULIO   2023 </v>
      </c>
      <c r="QU1" s="1659"/>
      <c r="QV1" s="1659"/>
      <c r="QW1" s="1659"/>
      <c r="QX1" s="1659"/>
      <c r="QY1" s="1659"/>
      <c r="QZ1" s="1659"/>
      <c r="RA1" s="254">
        <f>QQ1+1</f>
        <v>46</v>
      </c>
      <c r="RB1" s="254"/>
      <c r="RD1" s="1659" t="str">
        <f>QT1</f>
        <v xml:space="preserve">ENTRADA DEL MES DE  JULIO   2023 </v>
      </c>
      <c r="RE1" s="1659"/>
      <c r="RF1" s="1659"/>
      <c r="RG1" s="1659"/>
      <c r="RH1" s="1659"/>
      <c r="RI1" s="1659"/>
      <c r="RJ1" s="1659"/>
      <c r="RK1" s="254">
        <f>RA1+1</f>
        <v>47</v>
      </c>
      <c r="RL1" s="254"/>
      <c r="RN1" s="1659" t="str">
        <f>RD1</f>
        <v xml:space="preserve">ENTRADA DEL MES DE  JULIO   2023 </v>
      </c>
      <c r="RO1" s="1659"/>
      <c r="RP1" s="1659"/>
      <c r="RQ1" s="1659"/>
      <c r="RR1" s="1659"/>
      <c r="RS1" s="1659"/>
      <c r="RT1" s="1659"/>
      <c r="RU1" s="254">
        <f>RK1+1</f>
        <v>48</v>
      </c>
      <c r="RV1" s="254"/>
      <c r="RX1" s="1659" t="str">
        <f>RN1</f>
        <v xml:space="preserve">ENTRADA DEL MES DE  JULIO   2023 </v>
      </c>
      <c r="RY1" s="1659"/>
      <c r="RZ1" s="1659"/>
      <c r="SA1" s="1659"/>
      <c r="SB1" s="1659"/>
      <c r="SC1" s="1659"/>
      <c r="SD1" s="1659"/>
      <c r="SE1" s="254">
        <f>RU1+1</f>
        <v>49</v>
      </c>
      <c r="SF1" s="254"/>
      <c r="SH1" s="1659" t="str">
        <f>RX1</f>
        <v xml:space="preserve">ENTRADA DEL MES DE  JULIO   2023 </v>
      </c>
      <c r="SI1" s="1659"/>
      <c r="SJ1" s="1659"/>
      <c r="SK1" s="1659"/>
      <c r="SL1" s="1659"/>
      <c r="SM1" s="1659"/>
      <c r="SN1" s="1659"/>
      <c r="SO1" s="254">
        <f>SE1+1</f>
        <v>50</v>
      </c>
      <c r="SP1" s="254"/>
      <c r="SR1" s="1659" t="str">
        <f>SH1</f>
        <v xml:space="preserve">ENTRADA DEL MES DE  JULIO   2023 </v>
      </c>
      <c r="SS1" s="1659"/>
      <c r="ST1" s="1659"/>
      <c r="SU1" s="1659"/>
      <c r="SV1" s="1659"/>
      <c r="SW1" s="1659"/>
      <c r="SX1" s="1659"/>
      <c r="SY1" s="254">
        <f>SO1+1</f>
        <v>51</v>
      </c>
      <c r="SZ1" s="254"/>
      <c r="TB1" s="1659" t="str">
        <f>SR1</f>
        <v xml:space="preserve">ENTRADA DEL MES DE  JULIO   2023 </v>
      </c>
      <c r="TC1" s="1659"/>
      <c r="TD1" s="1659"/>
      <c r="TE1" s="1659"/>
      <c r="TF1" s="1659"/>
      <c r="TG1" s="1659"/>
      <c r="TH1" s="1659"/>
      <c r="TI1" s="254">
        <f>SY1+1</f>
        <v>52</v>
      </c>
      <c r="TJ1" s="254"/>
      <c r="TL1" s="1659" t="str">
        <f>TB1</f>
        <v xml:space="preserve">ENTRADA DEL MES DE  JULIO   2023 </v>
      </c>
      <c r="TM1" s="1659"/>
      <c r="TN1" s="1659"/>
      <c r="TO1" s="1659"/>
      <c r="TP1" s="1659"/>
      <c r="TQ1" s="1659"/>
      <c r="TR1" s="1659"/>
      <c r="TS1" s="254">
        <f>TI1+1</f>
        <v>53</v>
      </c>
      <c r="TT1" s="254"/>
      <c r="TV1" s="1659" t="str">
        <f>TL1</f>
        <v xml:space="preserve">ENTRADA DEL MES DE  JULIO   2023 </v>
      </c>
      <c r="TW1" s="1659"/>
      <c r="TX1" s="1659"/>
      <c r="TY1" s="1659"/>
      <c r="TZ1" s="1659"/>
      <c r="UA1" s="1659"/>
      <c r="UB1" s="1659"/>
      <c r="UC1" s="254">
        <f>TS1+1</f>
        <v>54</v>
      </c>
      <c r="UE1" s="1659" t="str">
        <f>TV1</f>
        <v xml:space="preserve">ENTRADA DEL MES DE  JULIO   2023 </v>
      </c>
      <c r="UF1" s="1659"/>
      <c r="UG1" s="1659"/>
      <c r="UH1" s="1659"/>
      <c r="UI1" s="1659"/>
      <c r="UJ1" s="1659"/>
      <c r="UK1" s="1659"/>
      <c r="UL1" s="254">
        <f>UC1+1</f>
        <v>55</v>
      </c>
      <c r="UN1" s="1659" t="str">
        <f>UE1</f>
        <v xml:space="preserve">ENTRADA DEL MES DE  JULIO   2023 </v>
      </c>
      <c r="UO1" s="1659"/>
      <c r="UP1" s="1659"/>
      <c r="UQ1" s="1659"/>
      <c r="UR1" s="1659"/>
      <c r="US1" s="1659"/>
      <c r="UT1" s="1659"/>
      <c r="UU1" s="254">
        <f>UL1+1</f>
        <v>56</v>
      </c>
      <c r="UW1" s="1659" t="str">
        <f>UN1</f>
        <v xml:space="preserve">ENTRADA DEL MES DE  JULIO   2023 </v>
      </c>
      <c r="UX1" s="1659"/>
      <c r="UY1" s="1659"/>
      <c r="UZ1" s="1659"/>
      <c r="VA1" s="1659"/>
      <c r="VB1" s="1659"/>
      <c r="VC1" s="1659"/>
      <c r="VD1" s="254">
        <f>UU1+1</f>
        <v>57</v>
      </c>
      <c r="VF1" s="1659" t="str">
        <f>UW1</f>
        <v xml:space="preserve">ENTRADA DEL MES DE  JULIO   2023 </v>
      </c>
      <c r="VG1" s="1659"/>
      <c r="VH1" s="1659"/>
      <c r="VI1" s="1659"/>
      <c r="VJ1" s="1659"/>
      <c r="VK1" s="1659"/>
      <c r="VL1" s="1659"/>
      <c r="VM1" s="254">
        <f>VD1+1</f>
        <v>58</v>
      </c>
      <c r="VO1" s="1659" t="str">
        <f>VF1</f>
        <v xml:space="preserve">ENTRADA DEL MES DE  JULIO   2023 </v>
      </c>
      <c r="VP1" s="1659"/>
      <c r="VQ1" s="1659"/>
      <c r="VR1" s="1659"/>
      <c r="VS1" s="1659"/>
      <c r="VT1" s="1659"/>
      <c r="VU1" s="1659"/>
      <c r="VV1" s="254">
        <f>VM1+1</f>
        <v>59</v>
      </c>
      <c r="VX1" s="1659" t="str">
        <f>VO1</f>
        <v xml:space="preserve">ENTRADA DEL MES DE  JULIO   2023 </v>
      </c>
      <c r="VY1" s="1659"/>
      <c r="VZ1" s="1659"/>
      <c r="WA1" s="1659"/>
      <c r="WB1" s="1659"/>
      <c r="WC1" s="1659"/>
      <c r="WD1" s="1659"/>
      <c r="WE1" s="254">
        <f>VV1+1</f>
        <v>60</v>
      </c>
      <c r="WG1" s="1659" t="str">
        <f>VX1</f>
        <v xml:space="preserve">ENTRADA DEL MES DE  JULIO   2023 </v>
      </c>
      <c r="WH1" s="1659"/>
      <c r="WI1" s="1659"/>
      <c r="WJ1" s="1659"/>
      <c r="WK1" s="1659"/>
      <c r="WL1" s="1659"/>
      <c r="WM1" s="1659"/>
      <c r="WN1" s="254">
        <f>WE1+1</f>
        <v>61</v>
      </c>
      <c r="WP1" s="1659" t="str">
        <f>WG1</f>
        <v xml:space="preserve">ENTRADA DEL MES DE  JULIO   2023 </v>
      </c>
      <c r="WQ1" s="1659"/>
      <c r="WR1" s="1659"/>
      <c r="WS1" s="1659"/>
      <c r="WT1" s="1659"/>
      <c r="WU1" s="1659"/>
      <c r="WV1" s="1659"/>
      <c r="WW1" s="254">
        <f>WN1+1</f>
        <v>62</v>
      </c>
      <c r="WY1" s="1659" t="str">
        <f>WP1</f>
        <v xml:space="preserve">ENTRADA DEL MES DE  JULIO   2023 </v>
      </c>
      <c r="WZ1" s="1659"/>
      <c r="XA1" s="1659"/>
      <c r="XB1" s="1659"/>
      <c r="XC1" s="1659"/>
      <c r="XD1" s="1659"/>
      <c r="XE1" s="1659"/>
      <c r="XF1" s="254">
        <f>WW1+1</f>
        <v>63</v>
      </c>
      <c r="XH1" s="1659" t="str">
        <f>WY1</f>
        <v xml:space="preserve">ENTRADA DEL MES DE  JULIO   2023 </v>
      </c>
      <c r="XI1" s="1659"/>
      <c r="XJ1" s="1659"/>
      <c r="XK1" s="1659"/>
      <c r="XL1" s="1659"/>
      <c r="XM1" s="1659"/>
      <c r="XN1" s="1659"/>
      <c r="XO1" s="254">
        <f>XF1+1</f>
        <v>64</v>
      </c>
      <c r="XQ1" s="1659" t="str">
        <f>XH1</f>
        <v xml:space="preserve">ENTRADA DEL MES DE  JULIO   2023 </v>
      </c>
      <c r="XR1" s="1659"/>
      <c r="XS1" s="1659"/>
      <c r="XT1" s="1659"/>
      <c r="XU1" s="1659"/>
      <c r="XV1" s="1659"/>
      <c r="XW1" s="1659"/>
      <c r="XX1" s="254">
        <f>XO1+1</f>
        <v>65</v>
      </c>
      <c r="XZ1" s="1659" t="str">
        <f>XQ1</f>
        <v xml:space="preserve">ENTRADA DEL MES DE  JULIO   2023 </v>
      </c>
      <c r="YA1" s="1659"/>
      <c r="YB1" s="1659"/>
      <c r="YC1" s="1659"/>
      <c r="YD1" s="1659"/>
      <c r="YE1" s="1659"/>
      <c r="YF1" s="1659"/>
      <c r="YG1" s="254">
        <f>XX1+1</f>
        <v>66</v>
      </c>
      <c r="YI1" s="1659" t="str">
        <f>XZ1</f>
        <v xml:space="preserve">ENTRADA DEL MES DE  JULIO   2023 </v>
      </c>
      <c r="YJ1" s="1659"/>
      <c r="YK1" s="1659"/>
      <c r="YL1" s="1659"/>
      <c r="YM1" s="1659"/>
      <c r="YN1" s="1659"/>
      <c r="YO1" s="1659"/>
      <c r="YP1" s="254">
        <f>YG1+1</f>
        <v>67</v>
      </c>
      <c r="YR1" s="1659" t="str">
        <f>YI1</f>
        <v xml:space="preserve">ENTRADA DEL MES DE  JULIO   2023 </v>
      </c>
      <c r="YS1" s="1659"/>
      <c r="YT1" s="1659"/>
      <c r="YU1" s="1659"/>
      <c r="YV1" s="1659"/>
      <c r="YW1" s="1659"/>
      <c r="YX1" s="1659"/>
      <c r="YY1" s="254">
        <f>YP1+1</f>
        <v>68</v>
      </c>
      <c r="ZA1" s="1659" t="str">
        <f>YR1</f>
        <v xml:space="preserve">ENTRADA DEL MES DE  JULIO   2023 </v>
      </c>
      <c r="ZB1" s="1659"/>
      <c r="ZC1" s="1659"/>
      <c r="ZD1" s="1659"/>
      <c r="ZE1" s="1659"/>
      <c r="ZF1" s="1659"/>
      <c r="ZG1" s="1659"/>
      <c r="ZH1" s="254">
        <f>YY1+1</f>
        <v>69</v>
      </c>
      <c r="ZJ1" s="1659" t="str">
        <f>ZA1</f>
        <v xml:space="preserve">ENTRADA DEL MES DE  JULIO   2023 </v>
      </c>
      <c r="ZK1" s="1659"/>
      <c r="ZL1" s="1659"/>
      <c r="ZM1" s="1659"/>
      <c r="ZN1" s="1659"/>
      <c r="ZO1" s="1659"/>
      <c r="ZP1" s="1659"/>
      <c r="ZQ1" s="254">
        <f>ZH1+1</f>
        <v>70</v>
      </c>
      <c r="ZS1" s="1659" t="str">
        <f>ZJ1</f>
        <v xml:space="preserve">ENTRADA DEL MES DE  JULIO   2023 </v>
      </c>
      <c r="ZT1" s="1659"/>
      <c r="ZU1" s="1659"/>
      <c r="ZV1" s="1659"/>
      <c r="ZW1" s="1659"/>
      <c r="ZX1" s="1659"/>
      <c r="ZY1" s="1659"/>
      <c r="ZZ1" s="254">
        <f>ZQ1+1</f>
        <v>71</v>
      </c>
      <c r="AAB1" s="1659" t="str">
        <f>ZS1</f>
        <v xml:space="preserve">ENTRADA DEL MES DE  JULIO   2023 </v>
      </c>
      <c r="AAC1" s="1659"/>
      <c r="AAD1" s="1659"/>
      <c r="AAE1" s="1659"/>
      <c r="AAF1" s="1659"/>
      <c r="AAG1" s="1659"/>
      <c r="AAH1" s="1659"/>
      <c r="AAI1" s="254">
        <f>ZZ1+1</f>
        <v>72</v>
      </c>
      <c r="AAK1" s="1659" t="str">
        <f>AAB1</f>
        <v xml:space="preserve">ENTRADA DEL MES DE  JULIO   2023 </v>
      </c>
      <c r="AAL1" s="1659"/>
      <c r="AAM1" s="1659"/>
      <c r="AAN1" s="1659"/>
      <c r="AAO1" s="1659"/>
      <c r="AAP1" s="1659"/>
      <c r="AAQ1" s="1659"/>
      <c r="AAR1" s="254">
        <f>AAI1+1</f>
        <v>73</v>
      </c>
      <c r="AAT1" s="1659" t="str">
        <f>AAK1</f>
        <v xml:space="preserve">ENTRADA DEL MES DE  JULIO   2023 </v>
      </c>
      <c r="AAU1" s="1659"/>
      <c r="AAV1" s="1659"/>
      <c r="AAW1" s="1659"/>
      <c r="AAX1" s="1659"/>
      <c r="AAY1" s="1659"/>
      <c r="AAZ1" s="1659"/>
      <c r="ABA1" s="254">
        <f>AAR1+1</f>
        <v>74</v>
      </c>
      <c r="ABC1" s="1659" t="str">
        <f>AAT1</f>
        <v xml:space="preserve">ENTRADA DEL MES DE  JULIO   2023 </v>
      </c>
      <c r="ABD1" s="1659"/>
      <c r="ABE1" s="1659"/>
      <c r="ABF1" s="1659"/>
      <c r="ABG1" s="1659"/>
      <c r="ABH1" s="1659"/>
      <c r="ABI1" s="1659"/>
      <c r="ABJ1" s="254">
        <f>ABA1+1</f>
        <v>75</v>
      </c>
      <c r="ABL1" s="1659" t="str">
        <f>ABC1</f>
        <v xml:space="preserve">ENTRADA DEL MES DE  JULIO   2023 </v>
      </c>
      <c r="ABM1" s="1659"/>
      <c r="ABN1" s="1659"/>
      <c r="ABO1" s="1659"/>
      <c r="ABP1" s="1659"/>
      <c r="ABQ1" s="1659"/>
      <c r="ABR1" s="1659"/>
      <c r="ABS1" s="254">
        <f>ABJ1+1</f>
        <v>76</v>
      </c>
      <c r="ABU1" s="1659" t="str">
        <f>ABL1</f>
        <v xml:space="preserve">ENTRADA DEL MES DE  JULIO   2023 </v>
      </c>
      <c r="ABV1" s="1659"/>
      <c r="ABW1" s="1659"/>
      <c r="ABX1" s="1659"/>
      <c r="ABY1" s="1659"/>
      <c r="ABZ1" s="1659"/>
      <c r="ACA1" s="1659"/>
      <c r="ACB1" s="254">
        <f>ABS1+1</f>
        <v>77</v>
      </c>
      <c r="ACD1" s="1659" t="str">
        <f>ABU1</f>
        <v xml:space="preserve">ENTRADA DEL MES DE  JULIO   2023 </v>
      </c>
      <c r="ACE1" s="1659"/>
      <c r="ACF1" s="1659"/>
      <c r="ACG1" s="1659"/>
      <c r="ACH1" s="1659"/>
      <c r="ACI1" s="1659"/>
      <c r="ACJ1" s="1659"/>
      <c r="ACK1" s="254">
        <f>ACB1+1</f>
        <v>78</v>
      </c>
      <c r="ACM1" s="1659" t="str">
        <f>ACD1</f>
        <v xml:space="preserve">ENTRADA DEL MES DE  JULIO   2023 </v>
      </c>
      <c r="ACN1" s="1659"/>
      <c r="ACO1" s="1659"/>
      <c r="ACP1" s="1659"/>
      <c r="ACQ1" s="1659"/>
      <c r="ACR1" s="1659"/>
      <c r="ACS1" s="1659"/>
      <c r="ACT1" s="254">
        <f>ACK1+1</f>
        <v>79</v>
      </c>
      <c r="ACV1" s="1659" t="str">
        <f>ACM1</f>
        <v xml:space="preserve">ENTRADA DEL MES DE  JULIO   2023 </v>
      </c>
      <c r="ACW1" s="1659"/>
      <c r="ACX1" s="1659"/>
      <c r="ACY1" s="1659"/>
      <c r="ACZ1" s="1659"/>
      <c r="ADA1" s="1659"/>
      <c r="ADB1" s="1659"/>
      <c r="ADC1" s="254">
        <f>ACT1+1</f>
        <v>80</v>
      </c>
      <c r="ADE1" s="1659" t="str">
        <f>ACV1</f>
        <v xml:space="preserve">ENTRADA DEL MES DE  JULIO   2023 </v>
      </c>
      <c r="ADF1" s="1659"/>
      <c r="ADG1" s="1659"/>
      <c r="ADH1" s="1659"/>
      <c r="ADI1" s="1659"/>
      <c r="ADJ1" s="1659"/>
      <c r="ADK1" s="1659"/>
      <c r="ADL1" s="254">
        <f>ADC1+1</f>
        <v>81</v>
      </c>
      <c r="ADN1" s="1659" t="str">
        <f>ADE1</f>
        <v xml:space="preserve">ENTRADA DEL MES DE  JULIO   2023 </v>
      </c>
      <c r="ADO1" s="1659"/>
      <c r="ADP1" s="1659"/>
      <c r="ADQ1" s="1659"/>
      <c r="ADR1" s="1659"/>
      <c r="ADS1" s="1659"/>
      <c r="ADT1" s="1659"/>
      <c r="ADU1" s="254">
        <f>ADL1+1</f>
        <v>82</v>
      </c>
      <c r="ADW1" s="1659" t="str">
        <f>ADN1</f>
        <v xml:space="preserve">ENTRADA DEL MES DE  JULIO   2023 </v>
      </c>
      <c r="ADX1" s="1659"/>
      <c r="ADY1" s="1659"/>
      <c r="ADZ1" s="1659"/>
      <c r="AEA1" s="1659"/>
      <c r="AEB1" s="1659"/>
      <c r="AEC1" s="1659"/>
      <c r="AED1" s="254">
        <f>ADU1+1</f>
        <v>83</v>
      </c>
      <c r="AEF1" s="1659" t="str">
        <f>ADW1</f>
        <v xml:space="preserve">ENTRADA DEL MES DE  JULIO   2023 </v>
      </c>
      <c r="AEG1" s="1659"/>
      <c r="AEH1" s="1659"/>
      <c r="AEI1" s="1659"/>
      <c r="AEJ1" s="1659"/>
      <c r="AEK1" s="1659"/>
      <c r="AEL1" s="1659"/>
      <c r="AEM1" s="254">
        <f>AED1+1</f>
        <v>84</v>
      </c>
      <c r="AEO1" s="1659" t="str">
        <f>AEF1</f>
        <v xml:space="preserve">ENTRADA DEL MES DE  JULIO   2023 </v>
      </c>
      <c r="AEP1" s="1659"/>
      <c r="AEQ1" s="1659"/>
      <c r="AER1" s="1659"/>
      <c r="AES1" s="1659"/>
      <c r="AET1" s="1659"/>
      <c r="AEU1" s="1659"/>
      <c r="AEV1" s="254">
        <f>AEM1+1</f>
        <v>85</v>
      </c>
      <c r="AEX1" s="1659" t="str">
        <f>AEO1</f>
        <v xml:space="preserve">ENTRADA DEL MES DE  JULIO   2023 </v>
      </c>
      <c r="AEY1" s="1659"/>
      <c r="AEZ1" s="1659"/>
      <c r="AFA1" s="1659"/>
      <c r="AFB1" s="1659"/>
      <c r="AFC1" s="1659"/>
      <c r="AFD1" s="1659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5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5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5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5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5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5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5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5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5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5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5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5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5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5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5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5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5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5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5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5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5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5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5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5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5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5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5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30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30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30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30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30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30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30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30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30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30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30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SAM FARMS LLC</v>
      </c>
      <c r="C4" s="581" t="str">
        <f t="shared" si="0"/>
        <v>I B P</v>
      </c>
      <c r="D4" s="1229" t="str">
        <f t="shared" si="0"/>
        <v>PED. 100014029</v>
      </c>
      <c r="E4" s="1230">
        <f t="shared" si="0"/>
        <v>45107</v>
      </c>
      <c r="F4" s="1231">
        <f t="shared" si="0"/>
        <v>18900.48</v>
      </c>
      <c r="G4" s="72">
        <f t="shared" si="0"/>
        <v>20</v>
      </c>
      <c r="H4" s="48">
        <f t="shared" si="0"/>
        <v>18934.669999999998</v>
      </c>
      <c r="I4" s="102">
        <f t="shared" si="0"/>
        <v>-34.18999999999869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75"/>
      <c r="EV4" s="72" t="s">
        <v>54</v>
      </c>
      <c r="FA4" s="57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9"/>
      <c r="GJ4" s="74" t="s">
        <v>23</v>
      </c>
      <c r="GO4" s="224"/>
      <c r="GT4" s="74" t="s">
        <v>23</v>
      </c>
      <c r="GY4" s="1217"/>
      <c r="HD4" s="74" t="s">
        <v>23</v>
      </c>
      <c r="HI4" s="224"/>
      <c r="HJ4" s="72"/>
      <c r="HK4" s="371"/>
      <c r="HN4" s="74" t="s">
        <v>23</v>
      </c>
      <c r="HS4" s="224"/>
      <c r="HX4" s="74" t="s">
        <v>23</v>
      </c>
      <c r="IC4" s="1072"/>
      <c r="IF4" s="74" t="s">
        <v>44</v>
      </c>
      <c r="IH4" s="74" t="s">
        <v>23</v>
      </c>
      <c r="II4" s="737"/>
      <c r="IJ4" s="578"/>
      <c r="IM4" s="224"/>
      <c r="IR4" s="74" t="s">
        <v>54</v>
      </c>
      <c r="IW4" s="983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9"/>
      <c r="KF4" s="74" t="s">
        <v>23</v>
      </c>
      <c r="KK4" s="224"/>
      <c r="KO4" s="72"/>
      <c r="KP4" s="72" t="s">
        <v>23</v>
      </c>
      <c r="KU4" s="72"/>
      <c r="KV4" s="126"/>
      <c r="KW4" s="372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ht="28.5" x14ac:dyDescent="0.25">
      <c r="A5" s="133">
        <v>2</v>
      </c>
      <c r="B5" s="74" t="str">
        <f t="shared" ref="B5:H5" si="1">U5</f>
        <v>IDEAL TRADING FOODS</v>
      </c>
      <c r="C5" s="74" t="str">
        <f t="shared" si="1"/>
        <v>SIOUX</v>
      </c>
      <c r="D5" s="99" t="str">
        <f t="shared" si="1"/>
        <v>PED. 100127466</v>
      </c>
      <c r="E5" s="131">
        <f t="shared" si="1"/>
        <v>45111</v>
      </c>
      <c r="F5" s="85">
        <f t="shared" si="1"/>
        <v>18730.89</v>
      </c>
      <c r="G5" s="72">
        <f t="shared" si="1"/>
        <v>23</v>
      </c>
      <c r="H5" s="48">
        <f t="shared" si="1"/>
        <v>18678.5</v>
      </c>
      <c r="I5" s="102">
        <f>AB5</f>
        <v>52.389999999999418</v>
      </c>
      <c r="K5" s="575" t="s">
        <v>203</v>
      </c>
      <c r="L5" s="1160" t="s">
        <v>201</v>
      </c>
      <c r="M5" s="577" t="s">
        <v>202</v>
      </c>
      <c r="N5" s="578">
        <v>45107</v>
      </c>
      <c r="O5" s="579">
        <v>18900.48</v>
      </c>
      <c r="P5" s="576">
        <v>20</v>
      </c>
      <c r="Q5" s="1486">
        <v>18934.669999999998</v>
      </c>
      <c r="R5" s="134">
        <f>O5-Q5</f>
        <v>-34.18999999999869</v>
      </c>
      <c r="S5" s="366"/>
      <c r="U5" s="575" t="s">
        <v>328</v>
      </c>
      <c r="V5" s="1336" t="s">
        <v>329</v>
      </c>
      <c r="W5" s="577" t="s">
        <v>330</v>
      </c>
      <c r="X5" s="578">
        <v>45111</v>
      </c>
      <c r="Y5" s="579">
        <v>18730.89</v>
      </c>
      <c r="Z5" s="576">
        <v>23</v>
      </c>
      <c r="AA5" s="1486">
        <v>18678.5</v>
      </c>
      <c r="AB5" s="134">
        <f>Y5-AA5</f>
        <v>52.389999999999418</v>
      </c>
      <c r="AC5" s="366"/>
      <c r="AE5" s="575" t="s">
        <v>331</v>
      </c>
      <c r="AF5" s="1335" t="s">
        <v>332</v>
      </c>
      <c r="AG5" s="577" t="s">
        <v>333</v>
      </c>
      <c r="AH5" s="580">
        <v>45111</v>
      </c>
      <c r="AI5" s="579">
        <v>18920.57</v>
      </c>
      <c r="AJ5" s="576">
        <v>21</v>
      </c>
      <c r="AK5" s="1486">
        <v>18957.8</v>
      </c>
      <c r="AL5" s="134">
        <f>AI5-AK5</f>
        <v>-37.229999999999563</v>
      </c>
      <c r="AM5" s="366"/>
      <c r="AN5" s="74" t="s">
        <v>41</v>
      </c>
      <c r="AO5" s="581" t="s">
        <v>331</v>
      </c>
      <c r="AP5" s="1335" t="s">
        <v>332</v>
      </c>
      <c r="AQ5" s="582" t="s">
        <v>334</v>
      </c>
      <c r="AR5" s="578">
        <v>45111</v>
      </c>
      <c r="AS5" s="579">
        <v>19177.060000000001</v>
      </c>
      <c r="AT5" s="576">
        <v>21</v>
      </c>
      <c r="AU5" s="1486">
        <v>19229.7</v>
      </c>
      <c r="AV5" s="134">
        <f>AS5-AU5</f>
        <v>-52.639999999999418</v>
      </c>
      <c r="AW5" s="366"/>
      <c r="AY5" s="581" t="s">
        <v>331</v>
      </c>
      <c r="AZ5" s="1335" t="s">
        <v>332</v>
      </c>
      <c r="BA5" s="582" t="s">
        <v>335</v>
      </c>
      <c r="BB5" s="578">
        <v>45111</v>
      </c>
      <c r="BC5" s="579">
        <v>17027.05</v>
      </c>
      <c r="BD5" s="576">
        <v>19</v>
      </c>
      <c r="BE5" s="1486">
        <v>17117.599999999999</v>
      </c>
      <c r="BF5" s="134">
        <f>BC5-BE5</f>
        <v>-90.549999999999272</v>
      </c>
      <c r="BG5" s="366"/>
      <c r="BI5" s="581" t="s">
        <v>331</v>
      </c>
      <c r="BJ5" s="1335" t="s">
        <v>332</v>
      </c>
      <c r="BK5" s="582" t="s">
        <v>338</v>
      </c>
      <c r="BL5" s="578">
        <v>45113</v>
      </c>
      <c r="BM5" s="579">
        <v>19069.2</v>
      </c>
      <c r="BN5" s="576">
        <v>21</v>
      </c>
      <c r="BO5" s="1486">
        <v>19154.3</v>
      </c>
      <c r="BP5" s="134">
        <f>BM5-BO5</f>
        <v>-85.099999999998545</v>
      </c>
      <c r="BQ5" s="366"/>
      <c r="BS5" s="774" t="s">
        <v>331</v>
      </c>
      <c r="BT5" s="1335" t="s">
        <v>332</v>
      </c>
      <c r="BU5" s="582" t="s">
        <v>339</v>
      </c>
      <c r="BV5" s="578">
        <v>45113</v>
      </c>
      <c r="BW5" s="579">
        <v>19010.97</v>
      </c>
      <c r="BX5" s="576">
        <v>21</v>
      </c>
      <c r="BY5" s="1486">
        <v>19103.5</v>
      </c>
      <c r="BZ5" s="134">
        <f>BW5-BY5</f>
        <v>-92.529999999998836</v>
      </c>
      <c r="CA5" s="366"/>
      <c r="CB5" s="230"/>
      <c r="CC5" s="575" t="s">
        <v>331</v>
      </c>
      <c r="CD5" s="1337" t="s">
        <v>332</v>
      </c>
      <c r="CE5" s="582" t="s">
        <v>340</v>
      </c>
      <c r="CF5" s="578">
        <v>45115</v>
      </c>
      <c r="CG5" s="579">
        <v>18866.11</v>
      </c>
      <c r="CH5" s="576">
        <v>21</v>
      </c>
      <c r="CI5" s="1486">
        <v>19006.400000000001</v>
      </c>
      <c r="CJ5" s="134">
        <f>CG5-CI5</f>
        <v>-140.29000000000087</v>
      </c>
      <c r="CK5" s="230"/>
      <c r="CL5" s="230"/>
      <c r="CM5" s="775" t="s">
        <v>331</v>
      </c>
      <c r="CN5" s="1337" t="s">
        <v>332</v>
      </c>
      <c r="CO5" s="577" t="s">
        <v>341</v>
      </c>
      <c r="CP5" s="578">
        <v>45118</v>
      </c>
      <c r="CQ5" s="579">
        <v>19063.169999999998</v>
      </c>
      <c r="CR5" s="576">
        <v>21</v>
      </c>
      <c r="CS5" s="1486">
        <v>19098.7</v>
      </c>
      <c r="CT5" s="134">
        <f>CQ5-CS5</f>
        <v>-35.530000000002474</v>
      </c>
      <c r="CU5" s="366"/>
      <c r="CW5" s="575" t="s">
        <v>328</v>
      </c>
      <c r="CX5" s="1336" t="s">
        <v>329</v>
      </c>
      <c r="CY5" s="577" t="s">
        <v>342</v>
      </c>
      <c r="CZ5" s="578">
        <v>45118</v>
      </c>
      <c r="DA5" s="579">
        <v>18658.54</v>
      </c>
      <c r="DB5" s="576">
        <v>24</v>
      </c>
      <c r="DC5" s="1486">
        <v>18701.5</v>
      </c>
      <c r="DD5" s="134">
        <f>DA5-DC5</f>
        <v>-42.959999999999127</v>
      </c>
      <c r="DE5" s="366"/>
      <c r="DG5" s="581" t="s">
        <v>331</v>
      </c>
      <c r="DH5" s="1338" t="s">
        <v>332</v>
      </c>
      <c r="DI5" s="582" t="s">
        <v>343</v>
      </c>
      <c r="DJ5" s="578">
        <v>45118</v>
      </c>
      <c r="DK5" s="579">
        <v>17358.96</v>
      </c>
      <c r="DL5" s="576">
        <v>19</v>
      </c>
      <c r="DM5" s="1486">
        <v>17292.400000000001</v>
      </c>
      <c r="DN5" s="134">
        <f>DK5-DM5</f>
        <v>66.559999999997672</v>
      </c>
      <c r="DO5" s="366"/>
      <c r="DQ5" s="589" t="s">
        <v>331</v>
      </c>
      <c r="DR5" s="1337" t="s">
        <v>332</v>
      </c>
      <c r="DS5" s="582" t="s">
        <v>344</v>
      </c>
      <c r="DT5" s="578">
        <v>45119</v>
      </c>
      <c r="DU5" s="579">
        <v>17348.32</v>
      </c>
      <c r="DV5" s="576">
        <v>19</v>
      </c>
      <c r="DW5" s="1486">
        <v>17288</v>
      </c>
      <c r="DX5" s="134">
        <f>DU5-DW5</f>
        <v>60.319999999999709</v>
      </c>
      <c r="DY5" s="230"/>
      <c r="EA5" s="575" t="s">
        <v>331</v>
      </c>
      <c r="EB5" s="1356" t="s">
        <v>332</v>
      </c>
      <c r="EC5" s="582" t="s">
        <v>348</v>
      </c>
      <c r="ED5" s="578">
        <v>45120</v>
      </c>
      <c r="EE5" s="579">
        <v>18755.29</v>
      </c>
      <c r="EF5" s="576">
        <v>21</v>
      </c>
      <c r="EG5" s="1486">
        <v>18941.8</v>
      </c>
      <c r="EH5" s="134">
        <f>EE5-EG5</f>
        <v>-186.5099999999984</v>
      </c>
      <c r="EI5" s="366"/>
      <c r="EJ5" s="74" t="s">
        <v>49</v>
      </c>
      <c r="EK5" s="581" t="s">
        <v>331</v>
      </c>
      <c r="EL5" s="1356" t="s">
        <v>332</v>
      </c>
      <c r="EM5" s="582" t="s">
        <v>349</v>
      </c>
      <c r="EN5" s="578">
        <v>45121</v>
      </c>
      <c r="EO5" s="579">
        <v>19031.169999999998</v>
      </c>
      <c r="EP5" s="576">
        <v>21</v>
      </c>
      <c r="EQ5" s="1486">
        <v>19010.900000000001</v>
      </c>
      <c r="ER5" s="134">
        <f>EO5-EQ5</f>
        <v>20.269999999996799</v>
      </c>
      <c r="ES5" s="366"/>
      <c r="ET5" s="74" t="s">
        <v>49</v>
      </c>
      <c r="EU5" s="575" t="s">
        <v>331</v>
      </c>
      <c r="EV5" s="1356" t="s">
        <v>332</v>
      </c>
      <c r="EW5" s="577" t="s">
        <v>350</v>
      </c>
      <c r="EX5" s="578">
        <v>45122</v>
      </c>
      <c r="EY5" s="579">
        <v>18216.79</v>
      </c>
      <c r="EZ5" s="576">
        <v>20</v>
      </c>
      <c r="FA5" s="1501">
        <v>18220.2</v>
      </c>
      <c r="FB5" s="134">
        <f>EY5-FA5</f>
        <v>-3.4099999999998545</v>
      </c>
      <c r="FC5" s="366"/>
      <c r="FE5" s="581" t="s">
        <v>331</v>
      </c>
      <c r="FF5" s="1335" t="s">
        <v>332</v>
      </c>
      <c r="FG5" s="582" t="s">
        <v>393</v>
      </c>
      <c r="FH5" s="578">
        <v>45125</v>
      </c>
      <c r="FI5" s="579">
        <v>18498.009999999998</v>
      </c>
      <c r="FJ5" s="576">
        <v>21</v>
      </c>
      <c r="FK5" s="1501">
        <v>18762.900000000001</v>
      </c>
      <c r="FL5" s="134">
        <f>FI5-FK5</f>
        <v>-264.89000000000306</v>
      </c>
      <c r="FM5" s="366"/>
      <c r="FO5" s="589" t="s">
        <v>331</v>
      </c>
      <c r="FP5" s="1335" t="s">
        <v>332</v>
      </c>
      <c r="FQ5" s="582" t="s">
        <v>395</v>
      </c>
      <c r="FR5" s="578">
        <v>45125</v>
      </c>
      <c r="FS5" s="579">
        <v>19016.04</v>
      </c>
      <c r="FT5" s="576">
        <v>21</v>
      </c>
      <c r="FU5" s="1486">
        <v>19039.3</v>
      </c>
      <c r="FV5" s="134">
        <f>FS5-FU5</f>
        <v>-23.259999999998399</v>
      </c>
      <c r="FW5" s="366"/>
      <c r="FY5" s="618" t="s">
        <v>331</v>
      </c>
      <c r="FZ5" s="1356" t="s">
        <v>332</v>
      </c>
      <c r="GA5" s="582" t="s">
        <v>396</v>
      </c>
      <c r="GB5" s="580">
        <v>45126</v>
      </c>
      <c r="GC5" s="579">
        <v>18928.48</v>
      </c>
      <c r="GD5" s="576">
        <v>21</v>
      </c>
      <c r="GE5" s="1486">
        <v>18991.400000000001</v>
      </c>
      <c r="GF5" s="134">
        <f>GC5-GE5</f>
        <v>-62.920000000001892</v>
      </c>
      <c r="GG5" s="366"/>
      <c r="GI5" s="911" t="s">
        <v>331</v>
      </c>
      <c r="GJ5" s="1335" t="s">
        <v>332</v>
      </c>
      <c r="GK5" s="576" t="s">
        <v>397</v>
      </c>
      <c r="GL5" s="580">
        <v>45127</v>
      </c>
      <c r="GM5" s="579">
        <v>19001.03</v>
      </c>
      <c r="GN5" s="576">
        <v>21</v>
      </c>
      <c r="GO5" s="1486">
        <v>19038.900000000001</v>
      </c>
      <c r="GP5" s="134">
        <f>GM5-GO5</f>
        <v>-37.870000000002619</v>
      </c>
      <c r="GQ5" s="366"/>
      <c r="GS5" s="911" t="s">
        <v>331</v>
      </c>
      <c r="GT5" s="1335" t="s">
        <v>332</v>
      </c>
      <c r="GU5" s="576" t="s">
        <v>398</v>
      </c>
      <c r="GV5" s="580">
        <v>45128</v>
      </c>
      <c r="GW5" s="579">
        <v>18625.509999999998</v>
      </c>
      <c r="GX5" s="576">
        <v>21</v>
      </c>
      <c r="GY5" s="1486">
        <v>18765.900000000001</v>
      </c>
      <c r="GZ5" s="134">
        <f>GW5-GY5</f>
        <v>-140.39000000000306</v>
      </c>
      <c r="HA5" s="366"/>
      <c r="HC5" s="1216" t="s">
        <v>331</v>
      </c>
      <c r="HD5" s="1335" t="s">
        <v>332</v>
      </c>
      <c r="HE5" s="582" t="s">
        <v>440</v>
      </c>
      <c r="HF5" s="580">
        <v>45132</v>
      </c>
      <c r="HG5" s="579">
        <v>18753.2</v>
      </c>
      <c r="HH5" s="576">
        <v>21</v>
      </c>
      <c r="HI5" s="732">
        <v>18856.599999999999</v>
      </c>
      <c r="HJ5" s="134">
        <f>HG5-HI5</f>
        <v>-103.39999999999782</v>
      </c>
      <c r="HK5" s="366"/>
      <c r="HM5" s="581" t="s">
        <v>331</v>
      </c>
      <c r="HN5" s="1335" t="s">
        <v>332</v>
      </c>
      <c r="HO5" s="582" t="s">
        <v>441</v>
      </c>
      <c r="HP5" s="578">
        <v>45132</v>
      </c>
      <c r="HQ5" s="579">
        <v>19024.82</v>
      </c>
      <c r="HR5" s="576">
        <v>21</v>
      </c>
      <c r="HS5" s="1501">
        <v>19002.7</v>
      </c>
      <c r="HT5" s="134">
        <f>HQ5-HS5</f>
        <v>22.119999999998981</v>
      </c>
      <c r="HU5" s="366"/>
      <c r="HW5" s="911" t="s">
        <v>467</v>
      </c>
      <c r="HX5" s="1438" t="s">
        <v>442</v>
      </c>
      <c r="HY5" s="582"/>
      <c r="HZ5" s="578">
        <v>45133</v>
      </c>
      <c r="IA5" s="579">
        <v>19010.48</v>
      </c>
      <c r="IB5" s="576">
        <v>22</v>
      </c>
      <c r="IC5" s="1486">
        <v>19116.2</v>
      </c>
      <c r="ID5" s="134">
        <f>IA5-IC5</f>
        <v>-105.72000000000116</v>
      </c>
      <c r="IE5" s="366"/>
      <c r="IG5" s="575" t="s">
        <v>331</v>
      </c>
      <c r="IH5" s="1439" t="s">
        <v>332</v>
      </c>
      <c r="II5" s="577" t="s">
        <v>445</v>
      </c>
      <c r="IJ5" s="578">
        <v>45134</v>
      </c>
      <c r="IK5" s="579">
        <v>16855.38</v>
      </c>
      <c r="IL5" s="576">
        <v>19</v>
      </c>
      <c r="IM5" s="1486">
        <v>17019.7</v>
      </c>
      <c r="IN5" s="134">
        <f>IK5-IM5</f>
        <v>-164.31999999999971</v>
      </c>
      <c r="IO5" s="366"/>
      <c r="IQ5" s="575" t="s">
        <v>331</v>
      </c>
      <c r="IR5" s="1440" t="s">
        <v>332</v>
      </c>
      <c r="IS5" s="577" t="s">
        <v>446</v>
      </c>
      <c r="IT5" s="578">
        <v>45135</v>
      </c>
      <c r="IU5" s="579">
        <v>18995.7</v>
      </c>
      <c r="IV5" s="576">
        <v>21</v>
      </c>
      <c r="IW5" s="1486">
        <v>19128.3</v>
      </c>
      <c r="IX5" s="134">
        <f>IU5-IW5</f>
        <v>-132.59999999999854</v>
      </c>
      <c r="IY5" s="366"/>
      <c r="JA5" s="581" t="s">
        <v>203</v>
      </c>
      <c r="JB5" s="1160" t="s">
        <v>447</v>
      </c>
      <c r="JC5" s="577" t="s">
        <v>448</v>
      </c>
      <c r="JD5" s="578">
        <v>45135</v>
      </c>
      <c r="JE5" s="579">
        <v>18725.68</v>
      </c>
      <c r="JF5" s="576">
        <v>20</v>
      </c>
      <c r="JG5" s="1486">
        <v>18767.75</v>
      </c>
      <c r="JH5" s="134">
        <f>JE5-JG5</f>
        <v>-42.069999999999709</v>
      </c>
      <c r="JI5" s="366"/>
      <c r="JK5" s="774"/>
      <c r="JL5" s="745"/>
      <c r="JM5" s="577"/>
      <c r="JN5" s="578"/>
      <c r="JO5" s="579"/>
      <c r="JP5" s="576"/>
      <c r="JQ5" s="560"/>
      <c r="JR5" s="134">
        <f>JO5-JQ5</f>
        <v>0</v>
      </c>
      <c r="JS5" s="366"/>
      <c r="JU5" s="575"/>
      <c r="JV5" s="576"/>
      <c r="JW5" s="577"/>
      <c r="JX5" s="578"/>
      <c r="JY5" s="579"/>
      <c r="JZ5" s="576"/>
      <c r="KA5" s="732"/>
      <c r="KB5" s="134">
        <f>JY5-KA5</f>
        <v>0</v>
      </c>
      <c r="KC5" s="366"/>
      <c r="KE5" s="1661"/>
      <c r="KF5" s="576"/>
      <c r="KG5" s="577"/>
      <c r="KH5" s="578"/>
      <c r="KI5" s="579"/>
      <c r="KJ5" s="576"/>
      <c r="KK5" s="732"/>
      <c r="KL5" s="134">
        <f>KI5-KK5</f>
        <v>0</v>
      </c>
      <c r="KM5" s="366"/>
      <c r="KO5" s="575"/>
      <c r="KP5" s="576"/>
      <c r="KQ5" s="577"/>
      <c r="KR5" s="578"/>
      <c r="KS5" s="579"/>
      <c r="KT5" s="576"/>
      <c r="KU5" s="732"/>
      <c r="KV5" s="134">
        <f>KS5-KU5</f>
        <v>0</v>
      </c>
      <c r="KW5" s="366"/>
      <c r="KY5" s="575"/>
      <c r="KZ5" s="576"/>
      <c r="LA5" s="577"/>
      <c r="LB5" s="580"/>
      <c r="LC5" s="579"/>
      <c r="LD5" s="576"/>
      <c r="LE5" s="732"/>
      <c r="LF5" s="134">
        <f>LC5-LE5</f>
        <v>0</v>
      </c>
      <c r="LG5" s="366"/>
      <c r="LH5" s="74" t="s">
        <v>41</v>
      </c>
      <c r="LI5" s="581"/>
      <c r="LJ5" s="576"/>
      <c r="LK5" s="582"/>
      <c r="LL5" s="578"/>
      <c r="LM5" s="579"/>
      <c r="LN5" s="576"/>
      <c r="LO5" s="732"/>
      <c r="LP5" s="134">
        <f>LM5-LO5</f>
        <v>0</v>
      </c>
      <c r="LQ5" s="366"/>
      <c r="LS5" s="581"/>
      <c r="LT5" s="576"/>
      <c r="LU5" s="583"/>
      <c r="LV5" s="578"/>
      <c r="LW5" s="579"/>
      <c r="LX5" s="576"/>
      <c r="LY5" s="732"/>
      <c r="LZ5" s="134">
        <f>LW5-LY5</f>
        <v>0</v>
      </c>
      <c r="MA5" s="366"/>
      <c r="MB5" s="230"/>
      <c r="MC5" s="581"/>
      <c r="MD5" s="576"/>
      <c r="ME5" s="582"/>
      <c r="MF5" s="580"/>
      <c r="MG5" s="579"/>
      <c r="MH5" s="576"/>
      <c r="MI5" s="732"/>
      <c r="MJ5" s="134">
        <f>MG5-MI5</f>
        <v>0</v>
      </c>
      <c r="MK5" s="134"/>
      <c r="MM5" s="581"/>
      <c r="MN5" s="576"/>
      <c r="MO5" s="582"/>
      <c r="MP5" s="580"/>
      <c r="MQ5" s="579"/>
      <c r="MR5" s="576"/>
      <c r="MS5" s="732"/>
      <c r="MT5" s="134">
        <f>MQ5-MS5</f>
        <v>0</v>
      </c>
      <c r="MU5" s="134"/>
      <c r="MW5" s="581"/>
      <c r="MX5" s="576"/>
      <c r="MY5" s="582"/>
      <c r="MZ5" s="580"/>
      <c r="NA5" s="579"/>
      <c r="NB5" s="576"/>
      <c r="NC5" s="732"/>
      <c r="ND5" s="134">
        <f>NA5-NC5</f>
        <v>0</v>
      </c>
      <c r="NE5" s="134"/>
      <c r="NG5" s="581"/>
      <c r="NH5" s="576"/>
      <c r="NI5" s="583"/>
      <c r="NJ5" s="580"/>
      <c r="NK5" s="579"/>
      <c r="NL5" s="576"/>
      <c r="NM5" s="732"/>
      <c r="NN5" s="134">
        <f>NK5-NM5</f>
        <v>0</v>
      </c>
      <c r="NO5" s="134"/>
      <c r="NQ5" s="581"/>
      <c r="NR5" s="576"/>
      <c r="NS5" s="583"/>
      <c r="NT5" s="580"/>
      <c r="NU5" s="579"/>
      <c r="NV5" s="576"/>
      <c r="NW5" s="732"/>
      <c r="NX5" s="134">
        <f>NU5-NW5</f>
        <v>0</v>
      </c>
      <c r="NY5" s="134"/>
      <c r="OA5" s="581"/>
      <c r="OB5" s="576"/>
      <c r="OC5" s="582"/>
      <c r="OD5" s="580"/>
      <c r="OE5" s="579"/>
      <c r="OF5" s="576"/>
      <c r="OG5" s="732"/>
      <c r="OH5" s="134">
        <f>OE5-OG5</f>
        <v>0</v>
      </c>
      <c r="OI5" s="134"/>
      <c r="OK5" s="581"/>
      <c r="OL5" s="576"/>
      <c r="OM5" s="583"/>
      <c r="ON5" s="580"/>
      <c r="OO5" s="579"/>
      <c r="OP5" s="576"/>
      <c r="OQ5" s="732"/>
      <c r="OR5" s="134">
        <f>OO5-OQ5</f>
        <v>0</v>
      </c>
      <c r="OS5" s="134"/>
      <c r="OU5" s="581"/>
      <c r="OV5" s="576"/>
      <c r="OW5" s="583"/>
      <c r="OX5" s="578"/>
      <c r="OY5" s="579"/>
      <c r="OZ5" s="576"/>
      <c r="PA5" s="732"/>
      <c r="PB5" s="134">
        <f>OY5-PA5</f>
        <v>0</v>
      </c>
      <c r="PC5" s="134"/>
      <c r="PE5" s="581"/>
      <c r="PF5" s="576"/>
      <c r="PG5" s="582"/>
      <c r="PH5" s="580"/>
      <c r="PI5" s="579"/>
      <c r="PJ5" s="576"/>
      <c r="PK5" s="732"/>
      <c r="PL5" s="134">
        <f>PI5-PK5</f>
        <v>0</v>
      </c>
      <c r="PM5" s="134"/>
      <c r="PN5" s="134"/>
      <c r="PP5" s="581"/>
      <c r="PQ5" s="576"/>
      <c r="PR5" s="583"/>
      <c r="PS5" s="578"/>
      <c r="PT5" s="579"/>
      <c r="PU5" s="576"/>
      <c r="PV5" s="732"/>
      <c r="PW5" s="134">
        <f>PT5-PV5</f>
        <v>0</v>
      </c>
      <c r="PX5" s="134"/>
      <c r="PZ5" s="581"/>
      <c r="QA5" s="576"/>
      <c r="QB5" s="583"/>
      <c r="QC5" s="580"/>
      <c r="QD5" s="579"/>
      <c r="QE5" s="576"/>
      <c r="QF5" s="732"/>
      <c r="QG5" s="134">
        <f>QD5-QF5</f>
        <v>0</v>
      </c>
      <c r="QH5" s="134"/>
      <c r="QJ5" s="581"/>
      <c r="QK5" s="576"/>
      <c r="QL5" s="583"/>
      <c r="QM5" s="578"/>
      <c r="QN5" s="579"/>
      <c r="QO5" s="576"/>
      <c r="QP5" s="732"/>
      <c r="QQ5" s="134">
        <f>QN5-QP5</f>
        <v>0</v>
      </c>
      <c r="QR5" s="134"/>
      <c r="QT5" s="581"/>
      <c r="QU5" s="576"/>
      <c r="QV5" s="582"/>
      <c r="QW5" s="578"/>
      <c r="QX5" s="579"/>
      <c r="QY5" s="576"/>
      <c r="QZ5" s="732"/>
      <c r="RA5" s="134">
        <f>QX5-QZ5</f>
        <v>0</v>
      </c>
      <c r="RB5" s="134"/>
      <c r="RD5" s="581"/>
      <c r="RE5" s="576"/>
      <c r="RF5" s="583"/>
      <c r="RG5" s="578"/>
      <c r="RH5" s="579"/>
      <c r="RI5" s="576"/>
      <c r="RJ5" s="732"/>
      <c r="RK5" s="134">
        <f>RH5-RJ5</f>
        <v>0</v>
      </c>
      <c r="RL5" s="134"/>
      <c r="RN5" s="581"/>
      <c r="RO5" s="735"/>
      <c r="RP5" s="583"/>
      <c r="RQ5" s="580"/>
      <c r="RR5" s="579"/>
      <c r="RS5" s="576"/>
      <c r="RT5" s="732"/>
      <c r="RU5" s="134">
        <f>RR5-RT5</f>
        <v>0</v>
      </c>
      <c r="RV5" s="134"/>
      <c r="RX5" s="581"/>
      <c r="RY5" s="735"/>
      <c r="RZ5" s="583"/>
      <c r="SA5" s="578"/>
      <c r="SB5" s="579"/>
      <c r="SC5" s="576"/>
      <c r="SD5" s="732"/>
      <c r="SE5" s="134">
        <f>SB5-SD5</f>
        <v>0</v>
      </c>
      <c r="SF5" s="134"/>
      <c r="SH5" s="581"/>
      <c r="SI5" s="735"/>
      <c r="SJ5" s="583"/>
      <c r="SK5" s="578"/>
      <c r="SL5" s="579"/>
      <c r="SM5" s="576"/>
      <c r="SN5" s="732"/>
      <c r="SO5" s="134">
        <f>SL5-SN5</f>
        <v>0</v>
      </c>
      <c r="SP5" s="134"/>
      <c r="SR5" s="737"/>
      <c r="SS5" s="735"/>
      <c r="ST5" s="583"/>
      <c r="SU5" s="578"/>
      <c r="SV5" s="579"/>
      <c r="SW5" s="576"/>
      <c r="SX5" s="732"/>
      <c r="SY5" s="134">
        <f>SV5-SX5</f>
        <v>0</v>
      </c>
      <c r="SZ5" s="134"/>
      <c r="TB5" s="737"/>
      <c r="TC5" s="735"/>
      <c r="TD5" s="583"/>
      <c r="TE5" s="578"/>
      <c r="TF5" s="579"/>
      <c r="TG5" s="576"/>
      <c r="TH5" s="732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100127464</v>
      </c>
      <c r="E6" s="131">
        <f t="shared" si="2"/>
        <v>45111</v>
      </c>
      <c r="F6" s="85">
        <f t="shared" si="2"/>
        <v>18920.57</v>
      </c>
      <c r="G6" s="72">
        <f t="shared" si="2"/>
        <v>21</v>
      </c>
      <c r="H6" s="48">
        <f t="shared" si="2"/>
        <v>18957.8</v>
      </c>
      <c r="I6" s="102">
        <f>AL5</f>
        <v>-37.229999999999563</v>
      </c>
      <c r="K6" s="575"/>
      <c r="L6" s="584"/>
      <c r="M6" s="581"/>
      <c r="N6" s="581"/>
      <c r="O6" s="581"/>
      <c r="P6" s="581"/>
      <c r="Q6" s="576"/>
      <c r="S6" s="230"/>
      <c r="U6" s="575"/>
      <c r="V6" s="584"/>
      <c r="W6" s="581"/>
      <c r="X6" s="581"/>
      <c r="Y6" s="581"/>
      <c r="Z6" s="581"/>
      <c r="AA6" s="576"/>
      <c r="AC6" s="230"/>
      <c r="AE6" s="575"/>
      <c r="AF6" s="733"/>
      <c r="AG6" s="581"/>
      <c r="AH6" s="581"/>
      <c r="AI6" s="581"/>
      <c r="AJ6" s="581"/>
      <c r="AK6" s="576"/>
      <c r="AM6" s="230"/>
      <c r="AO6" s="581"/>
      <c r="AP6" s="584"/>
      <c r="AQ6" s="581"/>
      <c r="AR6" s="581"/>
      <c r="AS6" s="581"/>
      <c r="AT6" s="581"/>
      <c r="AU6" s="576"/>
      <c r="AY6" s="581"/>
      <c r="AZ6" s="584"/>
      <c r="BA6" s="581"/>
      <c r="BB6" s="581"/>
      <c r="BC6" s="581"/>
      <c r="BD6" s="581"/>
      <c r="BE6" s="576"/>
      <c r="BI6" s="581"/>
      <c r="BJ6" s="584"/>
      <c r="BK6" s="581"/>
      <c r="BL6" s="581"/>
      <c r="BM6" s="581"/>
      <c r="BN6" s="581"/>
      <c r="BO6" s="576"/>
      <c r="BQ6" s="230"/>
      <c r="BS6" s="774"/>
      <c r="BT6" s="584"/>
      <c r="BU6" s="581"/>
      <c r="BV6" s="581"/>
      <c r="BW6" s="581"/>
      <c r="BX6" s="581"/>
      <c r="BY6" s="576"/>
      <c r="CA6" s="230"/>
      <c r="CB6" s="230"/>
      <c r="CC6" s="575"/>
      <c r="CD6" s="584"/>
      <c r="CE6" s="581"/>
      <c r="CF6" s="581"/>
      <c r="CG6" s="581"/>
      <c r="CH6" s="581"/>
      <c r="CI6" s="576"/>
      <c r="CK6" s="230"/>
      <c r="CL6" s="230"/>
      <c r="CM6" s="775"/>
      <c r="CN6" s="585"/>
      <c r="CO6" s="581"/>
      <c r="CP6" s="581"/>
      <c r="CQ6" s="581"/>
      <c r="CR6" s="581"/>
      <c r="CS6" s="576"/>
      <c r="CU6" s="230"/>
      <c r="CW6" s="1502" t="s">
        <v>568</v>
      </c>
      <c r="CX6" s="584"/>
      <c r="CY6" s="581"/>
      <c r="CZ6" s="581"/>
      <c r="DA6" s="581"/>
      <c r="DB6" s="581"/>
      <c r="DC6" s="576"/>
      <c r="DE6" s="230"/>
      <c r="DG6" s="1363" t="s">
        <v>368</v>
      </c>
      <c r="DH6" s="584"/>
      <c r="DI6" s="581"/>
      <c r="DJ6" s="581"/>
      <c r="DK6" s="581"/>
      <c r="DL6" s="581"/>
      <c r="DM6" s="576"/>
      <c r="DO6" s="230"/>
      <c r="DQ6" s="589"/>
      <c r="DR6" s="584"/>
      <c r="DS6" s="581"/>
      <c r="DT6" s="581"/>
      <c r="DU6" s="581"/>
      <c r="DV6" s="581"/>
      <c r="DW6" s="576"/>
      <c r="DY6" s="230"/>
      <c r="EA6" s="575"/>
      <c r="EB6" s="584"/>
      <c r="EC6" s="581"/>
      <c r="ED6" s="581"/>
      <c r="EE6" s="581"/>
      <c r="EF6" s="581"/>
      <c r="EG6" s="576"/>
      <c r="EI6" s="230"/>
      <c r="EK6" s="581"/>
      <c r="EL6" s="584"/>
      <c r="EM6" s="581"/>
      <c r="EN6" s="581"/>
      <c r="EO6" s="581"/>
      <c r="EP6" s="581"/>
      <c r="EQ6" s="576"/>
      <c r="ES6" s="230"/>
      <c r="EU6" s="673"/>
      <c r="EV6" s="584"/>
      <c r="EW6" s="581"/>
      <c r="EX6" s="581"/>
      <c r="EY6" s="581"/>
      <c r="EZ6" s="581"/>
      <c r="FA6" s="576"/>
      <c r="FC6" s="230"/>
      <c r="FE6" s="673"/>
      <c r="FF6" s="584"/>
      <c r="FG6" s="581"/>
      <c r="FH6" s="581"/>
      <c r="FI6" s="581"/>
      <c r="FJ6" s="581"/>
      <c r="FK6" s="576"/>
      <c r="FM6" s="230"/>
      <c r="FO6" s="1393" t="s">
        <v>394</v>
      </c>
      <c r="FP6" s="584"/>
      <c r="FQ6" s="581"/>
      <c r="FR6" s="581"/>
      <c r="FS6" s="581"/>
      <c r="FT6" s="581"/>
      <c r="FU6" s="576"/>
      <c r="FW6" s="230"/>
      <c r="FY6" s="619"/>
      <c r="FZ6" s="620"/>
      <c r="GA6" s="581"/>
      <c r="GB6" s="581"/>
      <c r="GC6" s="581"/>
      <c r="GD6" s="581"/>
      <c r="GE6" s="576"/>
      <c r="GG6" s="230"/>
      <c r="GI6" s="911"/>
      <c r="GJ6" s="590"/>
      <c r="GK6" s="581"/>
      <c r="GL6" s="581"/>
      <c r="GM6" s="581"/>
      <c r="GN6" s="581"/>
      <c r="GO6" s="576"/>
      <c r="GQ6" s="230"/>
      <c r="GS6" s="911"/>
      <c r="GT6" s="590"/>
      <c r="GU6" s="581"/>
      <c r="GV6" s="581"/>
      <c r="GW6" s="581"/>
      <c r="GX6" s="581"/>
      <c r="GY6" s="576"/>
      <c r="HA6" s="230"/>
      <c r="HC6" s="1445" t="s">
        <v>454</v>
      </c>
      <c r="HD6" s="584"/>
      <c r="HE6" s="581"/>
      <c r="HF6" s="581"/>
      <c r="HG6" s="581"/>
      <c r="HH6" s="581"/>
      <c r="HI6" s="576"/>
      <c r="HK6" s="230"/>
      <c r="HM6" s="673"/>
      <c r="HN6" s="584"/>
      <c r="HO6" s="581"/>
      <c r="HP6" s="581"/>
      <c r="HQ6" s="581"/>
      <c r="HR6" s="581"/>
      <c r="HS6" s="576"/>
      <c r="HU6" s="230"/>
      <c r="HW6" s="911"/>
      <c r="HX6" s="581"/>
      <c r="HY6" s="581"/>
      <c r="HZ6" s="581"/>
      <c r="IA6" s="581"/>
      <c r="IB6" s="581"/>
      <c r="IC6" s="576"/>
      <c r="IE6" s="230"/>
      <c r="IG6" s="575"/>
      <c r="IH6" s="584"/>
      <c r="II6" s="581"/>
      <c r="IJ6" s="581"/>
      <c r="IK6" s="581"/>
      <c r="IL6" s="581"/>
      <c r="IM6" s="576"/>
      <c r="IO6" s="230"/>
      <c r="IQ6" s="575"/>
      <c r="IR6" s="584"/>
      <c r="IS6" s="581"/>
      <c r="IT6" s="581"/>
      <c r="IU6" s="581"/>
      <c r="IV6" s="581"/>
      <c r="IW6" s="576"/>
      <c r="IY6" s="230"/>
      <c r="JA6" s="581"/>
      <c r="JB6" s="581"/>
      <c r="JC6" s="581"/>
      <c r="JD6" s="581"/>
      <c r="JE6" s="581"/>
      <c r="JF6" s="581"/>
      <c r="JG6" s="576"/>
      <c r="JI6" s="230"/>
      <c r="JK6" s="589"/>
      <c r="JL6" s="584"/>
      <c r="JM6" s="581"/>
      <c r="JN6" s="581"/>
      <c r="JO6" s="581"/>
      <c r="JP6" s="581"/>
      <c r="JQ6" s="576"/>
      <c r="JS6" s="230"/>
      <c r="JU6" s="575"/>
      <c r="JV6" s="584"/>
      <c r="JW6" s="581"/>
      <c r="JX6" s="581"/>
      <c r="JY6" s="581"/>
      <c r="JZ6" s="581"/>
      <c r="KA6" s="576"/>
      <c r="KC6" s="230"/>
      <c r="KE6" s="1661"/>
      <c r="KF6" s="584"/>
      <c r="KG6" s="581"/>
      <c r="KH6" s="581"/>
      <c r="KI6" s="581"/>
      <c r="KJ6" s="581"/>
      <c r="KK6" s="576"/>
      <c r="KM6" s="230"/>
      <c r="KO6" s="575"/>
      <c r="KP6" s="584"/>
      <c r="KQ6" s="581"/>
      <c r="KR6" s="581"/>
      <c r="KS6" s="581"/>
      <c r="KT6" s="581"/>
      <c r="KU6" s="576"/>
      <c r="KW6" s="230"/>
      <c r="KY6" s="575"/>
      <c r="KZ6" s="733"/>
      <c r="LA6" s="581"/>
      <c r="LB6" s="581"/>
      <c r="LC6" s="581"/>
      <c r="LD6" s="581"/>
      <c r="LE6" s="576"/>
      <c r="LG6" s="230"/>
      <c r="LI6" s="581"/>
      <c r="LJ6" s="584"/>
      <c r="LK6" s="581"/>
      <c r="LL6" s="581"/>
      <c r="LM6" s="581"/>
      <c r="LN6" s="581"/>
      <c r="LO6" s="576"/>
      <c r="LS6" s="581"/>
      <c r="LT6" s="584"/>
      <c r="LU6" s="581"/>
      <c r="LV6" s="581"/>
      <c r="LW6" s="581"/>
      <c r="LX6" s="581"/>
      <c r="LY6" s="576"/>
      <c r="MA6" s="363"/>
      <c r="MB6" s="363"/>
      <c r="MC6" s="581"/>
      <c r="MD6" s="584"/>
      <c r="ME6" s="581"/>
      <c r="MF6" s="581"/>
      <c r="MG6" s="581"/>
      <c r="MH6" s="581"/>
      <c r="MI6" s="576"/>
      <c r="MM6" s="581"/>
      <c r="MN6" s="590"/>
      <c r="MO6" s="581"/>
      <c r="MP6" s="581"/>
      <c r="MQ6" s="581"/>
      <c r="MR6" s="581"/>
      <c r="MS6" s="576"/>
      <c r="MW6" s="581"/>
      <c r="MX6" s="590"/>
      <c r="MY6" s="581"/>
      <c r="MZ6" s="581"/>
      <c r="NA6" s="581"/>
      <c r="NB6" s="581"/>
      <c r="NC6" s="576"/>
      <c r="NG6" s="581"/>
      <c r="NH6" s="584"/>
      <c r="NI6" s="581"/>
      <c r="NJ6" s="581"/>
      <c r="NK6" s="581"/>
      <c r="NL6" s="581"/>
      <c r="NM6" s="576"/>
      <c r="NQ6" s="581"/>
      <c r="NR6" s="584"/>
      <c r="NS6" s="581"/>
      <c r="NT6" s="581"/>
      <c r="NU6" s="581"/>
      <c r="NV6" s="581"/>
      <c r="NW6" s="576"/>
      <c r="OA6" s="581"/>
      <c r="OB6" s="584"/>
      <c r="OC6" s="581"/>
      <c r="OD6" s="581"/>
      <c r="OE6" s="581"/>
      <c r="OF6" s="581"/>
      <c r="OG6" s="576"/>
      <c r="OK6" s="736"/>
      <c r="OL6" s="584"/>
      <c r="OM6" s="581"/>
      <c r="ON6" s="581"/>
      <c r="OO6" s="581"/>
      <c r="OP6" s="581"/>
      <c r="OQ6" s="576"/>
      <c r="OU6" s="736"/>
      <c r="OV6" s="584"/>
      <c r="OW6" s="581"/>
      <c r="OX6" s="581"/>
      <c r="OY6" s="581"/>
      <c r="OZ6" s="581"/>
      <c r="PA6" s="576"/>
      <c r="PE6" s="581"/>
      <c r="PF6" s="581"/>
      <c r="PG6" s="581"/>
      <c r="PH6" s="581"/>
      <c r="PI6" s="581"/>
      <c r="PJ6" s="581"/>
      <c r="PK6" s="576"/>
      <c r="PP6" s="581"/>
      <c r="PQ6" s="581"/>
      <c r="PR6" s="581"/>
      <c r="PS6" s="581"/>
      <c r="PT6" s="581"/>
      <c r="PU6" s="581"/>
      <c r="PV6" s="581"/>
      <c r="PZ6" s="736"/>
      <c r="QA6" s="581"/>
      <c r="QB6" s="581"/>
      <c r="QC6" s="581"/>
      <c r="QD6" s="581"/>
      <c r="QE6" s="581"/>
      <c r="QF6" s="576"/>
      <c r="QJ6" s="581"/>
      <c r="QK6" s="673"/>
      <c r="QL6" s="581"/>
      <c r="QM6" s="581"/>
      <c r="QN6" s="581"/>
      <c r="QO6" s="581"/>
      <c r="QP6" s="576"/>
      <c r="QT6" s="581"/>
      <c r="QU6" s="673"/>
      <c r="QV6" s="581"/>
      <c r="QW6" s="581"/>
      <c r="QX6" s="581"/>
      <c r="QY6" s="581"/>
      <c r="QZ6" s="576"/>
      <c r="RD6" s="673"/>
      <c r="RE6" s="581"/>
      <c r="RF6" s="581"/>
      <c r="RG6" s="581"/>
      <c r="RH6" s="581"/>
      <c r="RI6" s="581"/>
      <c r="RJ6" s="576"/>
      <c r="RN6" s="581"/>
      <c r="RO6" s="581"/>
      <c r="RP6" s="581"/>
      <c r="RQ6" s="581"/>
      <c r="RR6" s="581"/>
      <c r="RS6" s="581"/>
      <c r="RT6" s="576"/>
      <c r="RX6" s="581"/>
      <c r="RY6" s="581"/>
      <c r="RZ6" s="581"/>
      <c r="SA6" s="581"/>
      <c r="SB6" s="581"/>
      <c r="SC6" s="581"/>
      <c r="SD6" s="581"/>
      <c r="SH6" s="581"/>
      <c r="SI6" s="581"/>
      <c r="SJ6" s="581"/>
      <c r="SK6" s="581"/>
      <c r="SL6" s="581"/>
      <c r="SM6" s="581"/>
      <c r="SN6" s="581"/>
      <c r="SR6" s="581"/>
      <c r="SS6" s="581"/>
      <c r="ST6" s="581"/>
      <c r="SU6" s="581"/>
      <c r="SV6" s="581"/>
      <c r="SW6" s="581"/>
      <c r="SX6" s="581"/>
      <c r="TB6" s="581"/>
      <c r="TC6" s="581"/>
      <c r="TD6" s="581"/>
      <c r="TE6" s="581"/>
      <c r="TF6" s="581"/>
      <c r="TG6" s="581"/>
      <c r="TH6" s="58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3001407</v>
      </c>
      <c r="E7" s="131">
        <f t="shared" si="3"/>
        <v>45111</v>
      </c>
      <c r="F7" s="85">
        <f t="shared" si="3"/>
        <v>19177.060000000001</v>
      </c>
      <c r="G7" s="72">
        <f t="shared" si="3"/>
        <v>21</v>
      </c>
      <c r="H7" s="48">
        <f t="shared" si="3"/>
        <v>19229.7</v>
      </c>
      <c r="I7" s="102">
        <f t="shared" si="3"/>
        <v>-52.639999999999418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7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7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7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7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7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7"/>
      <c r="BR7" s="363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7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7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7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7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7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7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7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7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7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7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7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7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7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7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7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7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7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7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7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7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7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7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7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7"/>
      <c r="MB7" s="367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6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6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6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6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6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6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6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6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6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6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6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100127462</v>
      </c>
      <c r="E8" s="131">
        <f t="shared" si="4"/>
        <v>45111</v>
      </c>
      <c r="F8" s="85">
        <f t="shared" si="4"/>
        <v>17027.05</v>
      </c>
      <c r="G8" s="72">
        <f t="shared" si="4"/>
        <v>19</v>
      </c>
      <c r="H8" s="48">
        <f t="shared" si="4"/>
        <v>17117.599999999999</v>
      </c>
      <c r="I8" s="102">
        <f t="shared" si="4"/>
        <v>-90.549999999999272</v>
      </c>
      <c r="K8" s="60"/>
      <c r="L8" s="103"/>
      <c r="M8" s="15">
        <v>1</v>
      </c>
      <c r="N8" s="91">
        <v>934.4</v>
      </c>
      <c r="O8" s="238">
        <v>45108</v>
      </c>
      <c r="P8" s="91">
        <v>934.4</v>
      </c>
      <c r="Q8" s="69" t="s">
        <v>300</v>
      </c>
      <c r="R8" s="70">
        <v>45</v>
      </c>
      <c r="S8" s="363">
        <f>R8*P8</f>
        <v>42048</v>
      </c>
      <c r="U8" s="60"/>
      <c r="V8" s="103"/>
      <c r="W8" s="15">
        <v>1</v>
      </c>
      <c r="X8" s="562">
        <v>898</v>
      </c>
      <c r="Y8" s="646">
        <v>45111</v>
      </c>
      <c r="Z8" s="562">
        <v>898</v>
      </c>
      <c r="AA8" s="563" t="s">
        <v>504</v>
      </c>
      <c r="AB8" s="564">
        <v>42</v>
      </c>
      <c r="AC8" s="363">
        <f>AB8*Z8</f>
        <v>37716</v>
      </c>
      <c r="AE8" s="60"/>
      <c r="AF8" s="103"/>
      <c r="AG8" s="15">
        <v>1</v>
      </c>
      <c r="AH8" s="562">
        <v>916.7</v>
      </c>
      <c r="AI8" s="640">
        <v>45111</v>
      </c>
      <c r="AJ8" s="562">
        <v>916.7</v>
      </c>
      <c r="AK8" s="693" t="s">
        <v>503</v>
      </c>
      <c r="AL8" s="564">
        <v>45</v>
      </c>
      <c r="AM8" s="363">
        <f>AL8*AJ8</f>
        <v>41251.5</v>
      </c>
      <c r="AO8" s="60"/>
      <c r="AP8" s="103"/>
      <c r="AQ8" s="15">
        <v>1</v>
      </c>
      <c r="AR8" s="562">
        <v>923.5</v>
      </c>
      <c r="AS8" s="640">
        <v>45111</v>
      </c>
      <c r="AT8" s="562">
        <v>923.5</v>
      </c>
      <c r="AU8" s="693" t="s">
        <v>511</v>
      </c>
      <c r="AV8" s="564">
        <v>45</v>
      </c>
      <c r="AW8" s="363">
        <f>AV8*AT8</f>
        <v>41557.5</v>
      </c>
      <c r="AY8" s="60"/>
      <c r="AZ8" s="103"/>
      <c r="BA8" s="15">
        <v>1</v>
      </c>
      <c r="BB8" s="91">
        <v>871.8</v>
      </c>
      <c r="BC8" s="231">
        <v>45113</v>
      </c>
      <c r="BD8" s="562">
        <v>871.8</v>
      </c>
      <c r="BE8" s="94" t="s">
        <v>520</v>
      </c>
      <c r="BF8" s="70">
        <v>45</v>
      </c>
      <c r="BG8" s="363">
        <f>BF8*BD8</f>
        <v>39231</v>
      </c>
      <c r="BI8" s="60"/>
      <c r="BJ8" s="103"/>
      <c r="BK8" s="15">
        <v>1</v>
      </c>
      <c r="BL8" s="91">
        <v>892.7</v>
      </c>
      <c r="BM8" s="231">
        <v>45115</v>
      </c>
      <c r="BN8" s="91">
        <v>892.7</v>
      </c>
      <c r="BO8" s="94" t="s">
        <v>542</v>
      </c>
      <c r="BP8" s="70">
        <v>46</v>
      </c>
      <c r="BQ8" s="440">
        <f>BP8*BN8</f>
        <v>41064.200000000004</v>
      </c>
      <c r="BR8" s="363"/>
      <c r="BS8" s="60"/>
      <c r="BT8" s="103"/>
      <c r="BU8" s="15">
        <v>1</v>
      </c>
      <c r="BV8" s="562">
        <v>899.9</v>
      </c>
      <c r="BW8" s="586">
        <v>45113</v>
      </c>
      <c r="BX8" s="562">
        <v>899.9</v>
      </c>
      <c r="BY8" s="734" t="s">
        <v>523</v>
      </c>
      <c r="BZ8" s="588">
        <v>45</v>
      </c>
      <c r="CA8" s="230">
        <f t="shared" ref="CA8:CA28" si="5">BZ8*BX8</f>
        <v>40495.5</v>
      </c>
      <c r="CC8" s="60"/>
      <c r="CD8" s="202"/>
      <c r="CE8" s="15">
        <v>1</v>
      </c>
      <c r="CF8" s="91">
        <v>866.4</v>
      </c>
      <c r="CG8" s="275">
        <v>45115</v>
      </c>
      <c r="CH8" s="91">
        <v>866.4</v>
      </c>
      <c r="CI8" s="277" t="s">
        <v>543</v>
      </c>
      <c r="CJ8" s="276">
        <v>46</v>
      </c>
      <c r="CK8" s="363">
        <f>CJ8*CH8</f>
        <v>39854.400000000001</v>
      </c>
      <c r="CM8" s="60"/>
      <c r="CN8" s="93"/>
      <c r="CO8" s="15">
        <v>1</v>
      </c>
      <c r="CP8" s="562">
        <v>931.7</v>
      </c>
      <c r="CQ8" s="586">
        <v>45118</v>
      </c>
      <c r="CR8" s="562">
        <v>931.7</v>
      </c>
      <c r="CS8" s="587" t="s">
        <v>565</v>
      </c>
      <c r="CT8" s="276">
        <v>47</v>
      </c>
      <c r="CU8" s="368">
        <f>CT8*CR8</f>
        <v>43789.9</v>
      </c>
      <c r="CW8" s="60"/>
      <c r="CX8" s="103"/>
      <c r="CY8" s="15">
        <v>1</v>
      </c>
      <c r="CZ8" s="562">
        <v>491</v>
      </c>
      <c r="DA8" s="640">
        <v>45118</v>
      </c>
      <c r="DB8" s="562">
        <v>491</v>
      </c>
      <c r="DC8" s="693" t="s">
        <v>570</v>
      </c>
      <c r="DD8" s="564">
        <v>42</v>
      </c>
      <c r="DE8" s="363">
        <f>DD8*DB8</f>
        <v>20622</v>
      </c>
      <c r="DG8" s="60"/>
      <c r="DH8" s="103"/>
      <c r="DI8" s="15">
        <v>1</v>
      </c>
      <c r="DJ8" s="562">
        <v>937.1</v>
      </c>
      <c r="DK8" s="586">
        <v>45119</v>
      </c>
      <c r="DL8" s="562">
        <v>937.1</v>
      </c>
      <c r="DM8" s="587" t="s">
        <v>575</v>
      </c>
      <c r="DN8" s="588">
        <v>0</v>
      </c>
      <c r="DO8" s="368">
        <f>DN8*DL8</f>
        <v>0</v>
      </c>
      <c r="DQ8" s="60"/>
      <c r="DR8" s="103"/>
      <c r="DS8" s="15">
        <v>1</v>
      </c>
      <c r="DT8" s="562">
        <v>910.8</v>
      </c>
      <c r="DU8" s="586">
        <v>45119</v>
      </c>
      <c r="DV8" s="562">
        <v>910.8</v>
      </c>
      <c r="DW8" s="587" t="s">
        <v>583</v>
      </c>
      <c r="DX8" s="588">
        <v>48</v>
      </c>
      <c r="DY8" s="363">
        <f>DX8*DV8</f>
        <v>43718.399999999994</v>
      </c>
      <c r="EA8" s="60"/>
      <c r="EB8" s="103"/>
      <c r="EC8" s="15">
        <v>1</v>
      </c>
      <c r="ED8" s="91">
        <v>918.1</v>
      </c>
      <c r="EE8" s="238">
        <v>45120</v>
      </c>
      <c r="EF8" s="91">
        <v>918.1</v>
      </c>
      <c r="EG8" s="69" t="s">
        <v>590</v>
      </c>
      <c r="EH8" s="70">
        <v>48</v>
      </c>
      <c r="EI8" s="363">
        <f>EH8*EF8</f>
        <v>44068.800000000003</v>
      </c>
      <c r="EK8" s="60"/>
      <c r="EL8" s="103"/>
      <c r="EM8" s="15">
        <v>1</v>
      </c>
      <c r="EN8" s="91">
        <v>870.9</v>
      </c>
      <c r="EO8" s="238">
        <v>45121</v>
      </c>
      <c r="EP8" s="91">
        <v>870.9</v>
      </c>
      <c r="EQ8" s="69" t="s">
        <v>593</v>
      </c>
      <c r="ER8" s="70">
        <v>49</v>
      </c>
      <c r="ES8" s="363">
        <f>ER8*EP8</f>
        <v>42674.1</v>
      </c>
      <c r="EU8" s="60"/>
      <c r="EV8" s="316"/>
      <c r="EW8" s="15">
        <v>1</v>
      </c>
      <c r="EX8" s="562">
        <v>929</v>
      </c>
      <c r="EY8" s="640">
        <v>45122</v>
      </c>
      <c r="EZ8" s="562">
        <v>929</v>
      </c>
      <c r="FA8" s="563" t="s">
        <v>612</v>
      </c>
      <c r="FB8" s="564">
        <v>51</v>
      </c>
      <c r="FC8" s="363">
        <f>FB8*EZ8</f>
        <v>47379</v>
      </c>
      <c r="FE8" s="60"/>
      <c r="FF8" s="316"/>
      <c r="FG8" s="15">
        <v>1</v>
      </c>
      <c r="FH8" s="562">
        <v>925.8</v>
      </c>
      <c r="FI8" s="640">
        <v>45125</v>
      </c>
      <c r="FJ8" s="562">
        <v>925.8</v>
      </c>
      <c r="FK8" s="563" t="s">
        <v>636</v>
      </c>
      <c r="FL8" s="564">
        <v>51</v>
      </c>
      <c r="FM8" s="230">
        <f>FL8*FJ8</f>
        <v>47215.799999999996</v>
      </c>
      <c r="FO8" s="60"/>
      <c r="FP8" s="103"/>
      <c r="FQ8" s="15">
        <v>1</v>
      </c>
      <c r="FR8" s="562">
        <v>924.9</v>
      </c>
      <c r="FS8" s="231">
        <v>45129</v>
      </c>
      <c r="FT8" s="91">
        <v>924.9</v>
      </c>
      <c r="FU8" s="69" t="s">
        <v>675</v>
      </c>
      <c r="FV8" s="70">
        <v>0</v>
      </c>
      <c r="FW8" s="363">
        <f>FV8*FT8</f>
        <v>0</v>
      </c>
      <c r="FY8" s="60"/>
      <c r="FZ8" s="103"/>
      <c r="GA8" s="15">
        <v>1</v>
      </c>
      <c r="GB8" s="335">
        <v>935.8</v>
      </c>
      <c r="GC8" s="231">
        <v>45126</v>
      </c>
      <c r="GD8" s="335">
        <v>935.8</v>
      </c>
      <c r="GE8" s="94" t="s">
        <v>646</v>
      </c>
      <c r="GF8" s="70">
        <v>51</v>
      </c>
      <c r="GG8" s="363">
        <f>GF8*GD8</f>
        <v>47725.799999999996</v>
      </c>
      <c r="GI8" s="60"/>
      <c r="GJ8" s="103"/>
      <c r="GK8" s="15">
        <v>1</v>
      </c>
      <c r="GL8" s="91">
        <v>918.1</v>
      </c>
      <c r="GM8" s="231">
        <v>45127</v>
      </c>
      <c r="GN8" s="91">
        <v>918.1</v>
      </c>
      <c r="GO8" s="94" t="s">
        <v>652</v>
      </c>
      <c r="GP8" s="70">
        <v>51</v>
      </c>
      <c r="GQ8" s="363">
        <f>GP8*GN8</f>
        <v>46823.1</v>
      </c>
      <c r="GS8" s="60"/>
      <c r="GT8" s="103"/>
      <c r="GU8" s="15">
        <v>1</v>
      </c>
      <c r="GV8" s="91">
        <v>878.2</v>
      </c>
      <c r="GW8" s="231">
        <v>45128</v>
      </c>
      <c r="GX8" s="91">
        <v>878.2</v>
      </c>
      <c r="GY8" s="94" t="s">
        <v>665</v>
      </c>
      <c r="GZ8" s="70">
        <v>51</v>
      </c>
      <c r="HA8" s="363">
        <f>GZ8*GX8</f>
        <v>44788.200000000004</v>
      </c>
      <c r="HC8" s="60"/>
      <c r="HD8" s="103"/>
      <c r="HE8" s="15">
        <v>1</v>
      </c>
      <c r="HF8" s="562">
        <v>894.5</v>
      </c>
      <c r="HG8" s="640">
        <v>45134</v>
      </c>
      <c r="HH8" s="562">
        <v>894.5</v>
      </c>
      <c r="HI8" s="693" t="s">
        <v>710</v>
      </c>
      <c r="HJ8" s="564">
        <v>0</v>
      </c>
      <c r="HK8" s="363">
        <f>HJ8*HH8</f>
        <v>0</v>
      </c>
      <c r="HM8" s="60"/>
      <c r="HN8" s="103"/>
      <c r="HO8" s="624">
        <v>1</v>
      </c>
      <c r="HP8" s="562">
        <v>934.4</v>
      </c>
      <c r="HQ8" s="231">
        <v>45132</v>
      </c>
      <c r="HR8" s="91">
        <v>934.4</v>
      </c>
      <c r="HS8" s="278" t="s">
        <v>687</v>
      </c>
      <c r="HT8" s="70">
        <v>51</v>
      </c>
      <c r="HU8" s="363">
        <f>HT8*HR8</f>
        <v>47654.400000000001</v>
      </c>
      <c r="HW8" s="60"/>
      <c r="HX8" s="103"/>
      <c r="HY8" s="15">
        <v>1</v>
      </c>
      <c r="HZ8" s="562">
        <v>890.9</v>
      </c>
      <c r="IA8" s="646">
        <v>45133</v>
      </c>
      <c r="IB8" s="562">
        <v>890.9</v>
      </c>
      <c r="IC8" s="563" t="s">
        <v>700</v>
      </c>
      <c r="ID8" s="564">
        <v>51</v>
      </c>
      <c r="IE8" s="363">
        <f t="shared" ref="IE8:IE28" si="6">ID8*IB8</f>
        <v>45435.9</v>
      </c>
      <c r="IG8" s="60"/>
      <c r="IH8" s="103"/>
      <c r="II8" s="15">
        <v>1</v>
      </c>
      <c r="IJ8" s="91">
        <v>899.9</v>
      </c>
      <c r="IK8" s="238">
        <v>45134</v>
      </c>
      <c r="IL8" s="91">
        <v>899.9</v>
      </c>
      <c r="IM8" s="69" t="s">
        <v>711</v>
      </c>
      <c r="IN8" s="70">
        <v>51</v>
      </c>
      <c r="IO8" s="230">
        <f>IN8*IL8</f>
        <v>45894.9</v>
      </c>
      <c r="IQ8" s="60"/>
      <c r="IR8" s="103"/>
      <c r="IS8" s="15">
        <v>1</v>
      </c>
      <c r="IT8" s="91">
        <v>875.4</v>
      </c>
      <c r="IU8" s="238">
        <v>45135</v>
      </c>
      <c r="IV8" s="91">
        <v>875.4</v>
      </c>
      <c r="IW8" s="69" t="s">
        <v>720</v>
      </c>
      <c r="IX8" s="70">
        <v>51</v>
      </c>
      <c r="IY8" s="230">
        <f>IX8*IV8</f>
        <v>44645.4</v>
      </c>
      <c r="IZ8" s="91"/>
      <c r="JA8" s="60"/>
      <c r="JB8" s="103"/>
      <c r="JC8" s="15">
        <v>1</v>
      </c>
      <c r="JD8" s="91">
        <v>934.4</v>
      </c>
      <c r="JE8" s="238">
        <v>45136</v>
      </c>
      <c r="JF8" s="91">
        <v>934.4</v>
      </c>
      <c r="JG8" s="69" t="s">
        <v>730</v>
      </c>
      <c r="JH8" s="70">
        <v>51</v>
      </c>
      <c r="JI8" s="363">
        <f>JH8*JF8</f>
        <v>47654.400000000001</v>
      </c>
      <c r="JJ8" s="68"/>
      <c r="JK8" s="60"/>
      <c r="JL8" s="279"/>
      <c r="JM8" s="15">
        <v>1</v>
      </c>
      <c r="JN8" s="91"/>
      <c r="JO8" s="231"/>
      <c r="JP8" s="91"/>
      <c r="JQ8" s="69"/>
      <c r="JR8" s="70"/>
      <c r="JS8" s="363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3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3">
        <f>KL8*KJ8</f>
        <v>0</v>
      </c>
      <c r="KO8" s="60"/>
      <c r="KP8" s="103"/>
      <c r="KQ8" s="15">
        <v>1</v>
      </c>
      <c r="KR8" s="91"/>
      <c r="KS8" s="238"/>
      <c r="KT8" s="562"/>
      <c r="KU8" s="563"/>
      <c r="KV8" s="564"/>
      <c r="KW8" s="363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3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3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3">
        <f>LZ8*LX8</f>
        <v>0</v>
      </c>
      <c r="MB8" s="363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100224720</v>
      </c>
      <c r="E9" s="131">
        <f t="shared" si="7"/>
        <v>45113</v>
      </c>
      <c r="F9" s="85">
        <f t="shared" si="7"/>
        <v>19069.2</v>
      </c>
      <c r="G9" s="72">
        <f t="shared" si="7"/>
        <v>21</v>
      </c>
      <c r="H9" s="48">
        <f t="shared" si="7"/>
        <v>19154.3</v>
      </c>
      <c r="I9" s="102">
        <f>BP5</f>
        <v>-85.099999999998545</v>
      </c>
      <c r="L9" s="103"/>
      <c r="M9" s="15">
        <v>2</v>
      </c>
      <c r="N9" s="68">
        <v>947.1</v>
      </c>
      <c r="O9" s="1481">
        <v>45110</v>
      </c>
      <c r="P9" s="1482">
        <v>947.1</v>
      </c>
      <c r="Q9" s="1483" t="s">
        <v>496</v>
      </c>
      <c r="R9" s="1484">
        <v>45</v>
      </c>
      <c r="S9" s="1485">
        <f t="shared" ref="S9:S28" si="8">R9*P9</f>
        <v>42619.5</v>
      </c>
      <c r="V9" s="103"/>
      <c r="W9" s="15">
        <v>2</v>
      </c>
      <c r="X9" s="565">
        <v>863</v>
      </c>
      <c r="Y9" s="646">
        <v>45111</v>
      </c>
      <c r="Z9" s="565">
        <v>863</v>
      </c>
      <c r="AA9" s="563" t="s">
        <v>504</v>
      </c>
      <c r="AB9" s="564">
        <v>42</v>
      </c>
      <c r="AC9" s="363">
        <f t="shared" ref="AC9:AC28" si="9">AB9*Z9</f>
        <v>36246</v>
      </c>
      <c r="AF9" s="93"/>
      <c r="AG9" s="15">
        <v>2</v>
      </c>
      <c r="AH9" s="562">
        <v>914.9</v>
      </c>
      <c r="AI9" s="640">
        <v>45111</v>
      </c>
      <c r="AJ9" s="562">
        <v>914.9</v>
      </c>
      <c r="AK9" s="693" t="s">
        <v>503</v>
      </c>
      <c r="AL9" s="564">
        <v>45</v>
      </c>
      <c r="AM9" s="363">
        <f t="shared" ref="AM9:AM28" si="10">AL9*AJ9</f>
        <v>41170.5</v>
      </c>
      <c r="AP9" s="93"/>
      <c r="AQ9" s="15">
        <v>2</v>
      </c>
      <c r="AR9" s="562">
        <v>922.1</v>
      </c>
      <c r="AS9" s="640">
        <v>45112</v>
      </c>
      <c r="AT9" s="562">
        <v>922.1</v>
      </c>
      <c r="AU9" s="693" t="s">
        <v>516</v>
      </c>
      <c r="AV9" s="564">
        <v>45</v>
      </c>
      <c r="AW9" s="363">
        <f t="shared" ref="AW9:AW29" si="11">AV9*AT9</f>
        <v>41494.5</v>
      </c>
      <c r="AZ9" s="93"/>
      <c r="BA9" s="15">
        <v>2</v>
      </c>
      <c r="BB9" s="91">
        <v>940.7</v>
      </c>
      <c r="BC9" s="231">
        <v>45114</v>
      </c>
      <c r="BD9" s="91">
        <v>940.7</v>
      </c>
      <c r="BE9" s="94" t="s">
        <v>529</v>
      </c>
      <c r="BF9" s="70">
        <v>46</v>
      </c>
      <c r="BG9" s="363">
        <f t="shared" ref="BG9:BG29" si="12">BF9*BD9</f>
        <v>43272.200000000004</v>
      </c>
      <c r="BJ9" s="93"/>
      <c r="BK9" s="15">
        <v>2</v>
      </c>
      <c r="BL9" s="91">
        <v>921.7</v>
      </c>
      <c r="BM9" s="231">
        <v>45114</v>
      </c>
      <c r="BN9" s="91">
        <v>921.7</v>
      </c>
      <c r="BO9" s="94" t="s">
        <v>538</v>
      </c>
      <c r="BP9" s="70">
        <v>46</v>
      </c>
      <c r="BQ9" s="440">
        <f t="shared" ref="BQ9:BQ29" si="13">BP9*BN9</f>
        <v>42398.200000000004</v>
      </c>
      <c r="BR9" s="363"/>
      <c r="BT9" s="103"/>
      <c r="BU9" s="15">
        <v>2</v>
      </c>
      <c r="BV9" s="562">
        <v>896.3</v>
      </c>
      <c r="BW9" s="586">
        <v>45113</v>
      </c>
      <c r="BX9" s="562">
        <v>896.3</v>
      </c>
      <c r="BY9" s="734" t="s">
        <v>523</v>
      </c>
      <c r="BZ9" s="588">
        <v>45</v>
      </c>
      <c r="CA9" s="230">
        <f t="shared" si="5"/>
        <v>40333.5</v>
      </c>
      <c r="CD9" s="202"/>
      <c r="CE9" s="15">
        <v>2</v>
      </c>
      <c r="CF9" s="91">
        <v>889</v>
      </c>
      <c r="CG9" s="275">
        <v>45115</v>
      </c>
      <c r="CH9" s="91">
        <v>889</v>
      </c>
      <c r="CI9" s="277" t="s">
        <v>543</v>
      </c>
      <c r="CJ9" s="276">
        <v>46</v>
      </c>
      <c r="CK9" s="363">
        <f t="shared" ref="CK9:CK29" si="14">CJ9*CH9</f>
        <v>40894</v>
      </c>
      <c r="CN9" s="93"/>
      <c r="CO9" s="15">
        <v>2</v>
      </c>
      <c r="CP9" s="562">
        <v>938.5</v>
      </c>
      <c r="CQ9" s="586">
        <v>45118</v>
      </c>
      <c r="CR9" s="562">
        <v>938.5</v>
      </c>
      <c r="CS9" s="587" t="s">
        <v>565</v>
      </c>
      <c r="CT9" s="276">
        <v>47</v>
      </c>
      <c r="CU9" s="368">
        <f>CT9*CR9</f>
        <v>44109.5</v>
      </c>
      <c r="CX9" s="93"/>
      <c r="CY9" s="15">
        <v>2</v>
      </c>
      <c r="CZ9" s="562">
        <v>806</v>
      </c>
      <c r="DA9" s="640">
        <v>45118</v>
      </c>
      <c r="DB9" s="562">
        <v>806</v>
      </c>
      <c r="DC9" s="693" t="s">
        <v>570</v>
      </c>
      <c r="DD9" s="564">
        <v>42</v>
      </c>
      <c r="DE9" s="363">
        <f t="shared" ref="DE9:DE31" si="15">DD9*DB9</f>
        <v>33852</v>
      </c>
      <c r="DH9" s="93"/>
      <c r="DI9" s="15">
        <v>2</v>
      </c>
      <c r="DJ9" s="562">
        <v>896.7</v>
      </c>
      <c r="DK9" s="586">
        <v>45119</v>
      </c>
      <c r="DL9" s="562">
        <v>896.7</v>
      </c>
      <c r="DM9" s="587" t="s">
        <v>575</v>
      </c>
      <c r="DN9" s="588">
        <v>0</v>
      </c>
      <c r="DO9" s="368">
        <f t="shared" ref="DO9:DO29" si="16">DN9*DL9</f>
        <v>0</v>
      </c>
      <c r="DR9" s="93"/>
      <c r="DS9" s="15">
        <v>2</v>
      </c>
      <c r="DT9" s="562">
        <v>912.6</v>
      </c>
      <c r="DU9" s="586">
        <v>45119</v>
      </c>
      <c r="DV9" s="562">
        <v>912.6</v>
      </c>
      <c r="DW9" s="587" t="s">
        <v>583</v>
      </c>
      <c r="DX9" s="588">
        <v>48</v>
      </c>
      <c r="DY9" s="363">
        <f t="shared" ref="DY9:DY29" si="17">DX9*DV9</f>
        <v>43804.800000000003</v>
      </c>
      <c r="EB9" s="93"/>
      <c r="EC9" s="15">
        <v>2</v>
      </c>
      <c r="ED9" s="91">
        <v>886.3</v>
      </c>
      <c r="EE9" s="238">
        <v>45120</v>
      </c>
      <c r="EF9" s="91">
        <v>886.3</v>
      </c>
      <c r="EG9" s="69" t="s">
        <v>590</v>
      </c>
      <c r="EH9" s="70">
        <v>48</v>
      </c>
      <c r="EI9" s="363">
        <f t="shared" ref="EI9:EI28" si="18">EH9*EF9</f>
        <v>42542.399999999994</v>
      </c>
      <c r="EL9" s="93"/>
      <c r="EM9" s="15">
        <v>2</v>
      </c>
      <c r="EN9" s="68">
        <v>937.1</v>
      </c>
      <c r="EO9" s="238">
        <v>45121</v>
      </c>
      <c r="EP9" s="68">
        <v>937.1</v>
      </c>
      <c r="EQ9" s="69" t="s">
        <v>593</v>
      </c>
      <c r="ER9" s="70">
        <v>49</v>
      </c>
      <c r="ES9" s="363">
        <f t="shared" ref="ES9:ES28" si="19">ER9*EP9</f>
        <v>45917.9</v>
      </c>
      <c r="EV9" s="316"/>
      <c r="EW9" s="15">
        <v>2</v>
      </c>
      <c r="EX9" s="562">
        <v>889.5</v>
      </c>
      <c r="EY9" s="640">
        <v>45122</v>
      </c>
      <c r="EZ9" s="562">
        <v>889.5</v>
      </c>
      <c r="FA9" s="563" t="s">
        <v>612</v>
      </c>
      <c r="FB9" s="564">
        <v>51</v>
      </c>
      <c r="FC9" s="363">
        <f t="shared" ref="FC9:FC29" si="20">FB9*EZ9</f>
        <v>45364.5</v>
      </c>
      <c r="FF9" s="316"/>
      <c r="FG9" s="15">
        <v>2</v>
      </c>
      <c r="FH9" s="562">
        <v>917.2</v>
      </c>
      <c r="FI9" s="640">
        <v>45125</v>
      </c>
      <c r="FJ9" s="562">
        <v>917.2</v>
      </c>
      <c r="FK9" s="563" t="s">
        <v>636</v>
      </c>
      <c r="FL9" s="564">
        <v>51</v>
      </c>
      <c r="FM9" s="230">
        <f t="shared" ref="FM9:FM29" si="21">FL9*FJ9</f>
        <v>46777.200000000004</v>
      </c>
      <c r="FP9" s="93" t="s">
        <v>41</v>
      </c>
      <c r="FQ9" s="15">
        <v>2</v>
      </c>
      <c r="FR9" s="562">
        <v>892.2</v>
      </c>
      <c r="FS9" s="231">
        <v>45129</v>
      </c>
      <c r="FT9" s="562">
        <v>892.2</v>
      </c>
      <c r="FU9" s="69" t="s">
        <v>675</v>
      </c>
      <c r="FV9" s="70">
        <v>0</v>
      </c>
      <c r="FW9" s="363">
        <f t="shared" ref="FW9:FW29" si="22">FV9*FT9</f>
        <v>0</v>
      </c>
      <c r="FZ9" s="93"/>
      <c r="GA9" s="15">
        <v>2</v>
      </c>
      <c r="GB9" s="336">
        <v>877.2</v>
      </c>
      <c r="GC9" s="231">
        <v>45126</v>
      </c>
      <c r="GD9" s="336">
        <v>877.2</v>
      </c>
      <c r="GE9" s="94" t="s">
        <v>646</v>
      </c>
      <c r="GF9" s="70">
        <v>51</v>
      </c>
      <c r="GG9" s="363">
        <f t="shared" ref="GG9:GG29" si="23">GF9*GD9</f>
        <v>44737.200000000004</v>
      </c>
      <c r="GJ9" s="93"/>
      <c r="GK9" s="15">
        <v>2</v>
      </c>
      <c r="GL9" s="102">
        <v>938.5</v>
      </c>
      <c r="GM9" s="231">
        <v>45127</v>
      </c>
      <c r="GN9" s="102">
        <v>938.5</v>
      </c>
      <c r="GO9" s="94" t="s">
        <v>652</v>
      </c>
      <c r="GP9" s="70">
        <v>51</v>
      </c>
      <c r="GQ9" s="363">
        <f t="shared" ref="GQ9:GQ28" si="24">GP9*GN9</f>
        <v>47863.5</v>
      </c>
      <c r="GT9" s="93"/>
      <c r="GU9" s="15">
        <v>2</v>
      </c>
      <c r="GV9" s="102">
        <v>861.8</v>
      </c>
      <c r="GW9" s="231">
        <v>45128</v>
      </c>
      <c r="GX9" s="102">
        <v>861.8</v>
      </c>
      <c r="GY9" s="94" t="s">
        <v>665</v>
      </c>
      <c r="GZ9" s="70">
        <v>51</v>
      </c>
      <c r="HA9" s="363">
        <f t="shared" ref="HA9:HA28" si="25">GZ9*GX9</f>
        <v>43951.799999999996</v>
      </c>
      <c r="HD9" s="93"/>
      <c r="HE9" s="15">
        <v>2</v>
      </c>
      <c r="HF9" s="562">
        <v>908.1</v>
      </c>
      <c r="HG9" s="640">
        <v>45134</v>
      </c>
      <c r="HH9" s="562">
        <v>908.1</v>
      </c>
      <c r="HI9" s="693" t="s">
        <v>710</v>
      </c>
      <c r="HJ9" s="564">
        <v>0</v>
      </c>
      <c r="HK9" s="363">
        <f t="shared" ref="HK9:HK28" si="26">HJ9*HH9</f>
        <v>0</v>
      </c>
      <c r="HN9" s="93"/>
      <c r="HO9" s="624">
        <v>2</v>
      </c>
      <c r="HP9" s="562">
        <v>874.5</v>
      </c>
      <c r="HQ9" s="231">
        <v>45132</v>
      </c>
      <c r="HR9" s="562">
        <v>874.5</v>
      </c>
      <c r="HS9" s="278" t="s">
        <v>687</v>
      </c>
      <c r="HT9" s="70">
        <v>51</v>
      </c>
      <c r="HU9" s="363">
        <f t="shared" ref="HU9:HU29" si="27">HT9*HR9</f>
        <v>44599.5</v>
      </c>
      <c r="HX9" s="103"/>
      <c r="HY9" s="15">
        <v>2</v>
      </c>
      <c r="HZ9" s="565">
        <v>902.6</v>
      </c>
      <c r="IA9" s="646">
        <v>45133</v>
      </c>
      <c r="IB9" s="565">
        <v>902.6</v>
      </c>
      <c r="IC9" s="563" t="s">
        <v>700</v>
      </c>
      <c r="ID9" s="564">
        <v>51</v>
      </c>
      <c r="IE9" s="363">
        <f t="shared" si="6"/>
        <v>46032.6</v>
      </c>
      <c r="IH9" s="93"/>
      <c r="II9" s="15">
        <v>2</v>
      </c>
      <c r="IJ9" s="68">
        <v>870</v>
      </c>
      <c r="IK9" s="238">
        <v>45134</v>
      </c>
      <c r="IL9" s="68">
        <v>870</v>
      </c>
      <c r="IM9" s="69" t="s">
        <v>711</v>
      </c>
      <c r="IN9" s="70">
        <v>51</v>
      </c>
      <c r="IO9" s="230">
        <f t="shared" ref="IO9:IO29" si="28">IN9*IL9</f>
        <v>44370</v>
      </c>
      <c r="IR9" s="93"/>
      <c r="IS9" s="15">
        <v>2</v>
      </c>
      <c r="IT9" s="68">
        <v>915.3</v>
      </c>
      <c r="IU9" s="238">
        <v>45135</v>
      </c>
      <c r="IV9" s="68">
        <v>915.3</v>
      </c>
      <c r="IW9" s="69" t="s">
        <v>720</v>
      </c>
      <c r="IX9" s="70">
        <v>51</v>
      </c>
      <c r="IY9" s="230">
        <f t="shared" ref="IY9:IY29" si="29">IX9*IV9</f>
        <v>46680.299999999996</v>
      </c>
      <c r="IZ9" s="91"/>
      <c r="JA9" s="91"/>
      <c r="JB9" s="93"/>
      <c r="JC9" s="15">
        <v>2</v>
      </c>
      <c r="JD9" s="91">
        <v>942.56</v>
      </c>
      <c r="JE9" s="238">
        <v>45136</v>
      </c>
      <c r="JF9" s="91">
        <v>942.56</v>
      </c>
      <c r="JG9" s="69" t="s">
        <v>728</v>
      </c>
      <c r="JH9" s="70">
        <v>51</v>
      </c>
      <c r="JI9" s="363">
        <f t="shared" ref="JI9:JI29" si="30">JH9*JF9</f>
        <v>48070.559999999998</v>
      </c>
      <c r="JJ9" s="68"/>
      <c r="JL9" s="93"/>
      <c r="JM9" s="15">
        <v>2</v>
      </c>
      <c r="JN9" s="91"/>
      <c r="JO9" s="231"/>
      <c r="JP9" s="91"/>
      <c r="JQ9" s="69"/>
      <c r="JR9" s="70"/>
      <c r="JS9" s="363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3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3">
        <f t="shared" ref="KM9:KM28" si="33">KL9*KJ9</f>
        <v>0</v>
      </c>
      <c r="KP9" s="103"/>
      <c r="KQ9" s="15">
        <v>2</v>
      </c>
      <c r="KR9" s="68"/>
      <c r="KS9" s="238"/>
      <c r="KT9" s="68"/>
      <c r="KU9" s="563"/>
      <c r="KV9" s="564"/>
      <c r="KW9" s="363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3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3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3">
        <f t="shared" ref="MA9:MA29" si="37">LZ9*LX9</f>
        <v>0</v>
      </c>
      <c r="MB9" s="363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100223551</v>
      </c>
      <c r="E10" s="131">
        <f t="shared" si="57"/>
        <v>45113</v>
      </c>
      <c r="F10" s="85">
        <f t="shared" si="57"/>
        <v>19010.97</v>
      </c>
      <c r="G10" s="72">
        <f t="shared" si="57"/>
        <v>21</v>
      </c>
      <c r="H10" s="48">
        <f t="shared" si="57"/>
        <v>19103.5</v>
      </c>
      <c r="I10" s="102">
        <f t="shared" si="57"/>
        <v>-92.529999999998836</v>
      </c>
      <c r="L10" s="103"/>
      <c r="M10" s="15">
        <v>3</v>
      </c>
      <c r="N10" s="68">
        <v>903.55</v>
      </c>
      <c r="O10" s="1481">
        <v>45110</v>
      </c>
      <c r="P10" s="1482">
        <v>903.55</v>
      </c>
      <c r="Q10" s="1483" t="s">
        <v>496</v>
      </c>
      <c r="R10" s="1484">
        <v>45</v>
      </c>
      <c r="S10" s="1485">
        <f t="shared" si="8"/>
        <v>40659.75</v>
      </c>
      <c r="V10" s="103"/>
      <c r="W10" s="15">
        <v>3</v>
      </c>
      <c r="X10" s="565">
        <v>821.5</v>
      </c>
      <c r="Y10" s="646">
        <v>45111</v>
      </c>
      <c r="Z10" s="565">
        <v>821.5</v>
      </c>
      <c r="AA10" s="563" t="s">
        <v>504</v>
      </c>
      <c r="AB10" s="564">
        <v>42</v>
      </c>
      <c r="AC10" s="363">
        <f t="shared" si="9"/>
        <v>34503</v>
      </c>
      <c r="AF10" s="93"/>
      <c r="AG10" s="15">
        <v>3</v>
      </c>
      <c r="AH10" s="562">
        <v>911.3</v>
      </c>
      <c r="AI10" s="640">
        <v>45111</v>
      </c>
      <c r="AJ10" s="562">
        <v>911.3</v>
      </c>
      <c r="AK10" s="693" t="s">
        <v>503</v>
      </c>
      <c r="AL10" s="564">
        <v>45</v>
      </c>
      <c r="AM10" s="363">
        <f t="shared" si="10"/>
        <v>41008.5</v>
      </c>
      <c r="AP10" s="93"/>
      <c r="AQ10" s="15">
        <v>3</v>
      </c>
      <c r="AR10" s="562">
        <v>894</v>
      </c>
      <c r="AS10" s="640">
        <v>45112</v>
      </c>
      <c r="AT10" s="562">
        <v>894</v>
      </c>
      <c r="AU10" s="693" t="s">
        <v>516</v>
      </c>
      <c r="AV10" s="564">
        <v>45</v>
      </c>
      <c r="AW10" s="363">
        <f t="shared" si="11"/>
        <v>40230</v>
      </c>
      <c r="AZ10" s="93"/>
      <c r="BA10" s="15">
        <v>3</v>
      </c>
      <c r="BB10" s="91">
        <v>916.3</v>
      </c>
      <c r="BC10" s="231">
        <v>45114</v>
      </c>
      <c r="BD10" s="91">
        <v>916.3</v>
      </c>
      <c r="BE10" s="94" t="s">
        <v>531</v>
      </c>
      <c r="BF10" s="70">
        <v>46</v>
      </c>
      <c r="BG10" s="363">
        <f t="shared" si="12"/>
        <v>42149.799999999996</v>
      </c>
      <c r="BJ10" s="93"/>
      <c r="BK10" s="15">
        <v>3</v>
      </c>
      <c r="BL10" s="91">
        <v>901.7</v>
      </c>
      <c r="BM10" s="231">
        <v>45115</v>
      </c>
      <c r="BN10" s="91">
        <v>901.7</v>
      </c>
      <c r="BO10" s="94" t="s">
        <v>540</v>
      </c>
      <c r="BP10" s="70">
        <v>46</v>
      </c>
      <c r="BQ10" s="440">
        <f t="shared" si="13"/>
        <v>41478.200000000004</v>
      </c>
      <c r="BR10" s="363"/>
      <c r="BT10" s="103"/>
      <c r="BU10" s="15">
        <v>3</v>
      </c>
      <c r="BV10" s="562">
        <v>870.9</v>
      </c>
      <c r="BW10" s="586">
        <v>45113</v>
      </c>
      <c r="BX10" s="562">
        <v>870.9</v>
      </c>
      <c r="BY10" s="734" t="s">
        <v>523</v>
      </c>
      <c r="BZ10" s="588">
        <v>45</v>
      </c>
      <c r="CA10" s="230">
        <f t="shared" si="5"/>
        <v>39190.5</v>
      </c>
      <c r="CD10" s="202"/>
      <c r="CE10" s="15">
        <v>3</v>
      </c>
      <c r="CF10" s="91">
        <v>925.3</v>
      </c>
      <c r="CG10" s="275">
        <v>45115</v>
      </c>
      <c r="CH10" s="91">
        <v>925.3</v>
      </c>
      <c r="CI10" s="277" t="s">
        <v>543</v>
      </c>
      <c r="CJ10" s="276">
        <v>46</v>
      </c>
      <c r="CK10" s="363">
        <f t="shared" si="14"/>
        <v>42563.799999999996</v>
      </c>
      <c r="CN10" s="93"/>
      <c r="CO10" s="15">
        <v>3</v>
      </c>
      <c r="CP10" s="562">
        <v>867.7</v>
      </c>
      <c r="CQ10" s="586">
        <v>45118</v>
      </c>
      <c r="CR10" s="562">
        <v>867.7</v>
      </c>
      <c r="CS10" s="587" t="s">
        <v>565</v>
      </c>
      <c r="CT10" s="276">
        <v>47</v>
      </c>
      <c r="CU10" s="368">
        <f t="shared" ref="CU10:CU30" si="58">CT10*CR10</f>
        <v>40781.9</v>
      </c>
      <c r="CX10" s="93"/>
      <c r="CY10" s="15">
        <v>3</v>
      </c>
      <c r="CZ10" s="562">
        <v>828</v>
      </c>
      <c r="DA10" s="640">
        <v>45118</v>
      </c>
      <c r="DB10" s="562">
        <v>828</v>
      </c>
      <c r="DC10" s="693" t="s">
        <v>570</v>
      </c>
      <c r="DD10" s="564">
        <v>42</v>
      </c>
      <c r="DE10" s="363">
        <f t="shared" si="15"/>
        <v>34776</v>
      </c>
      <c r="DH10" s="93"/>
      <c r="DI10" s="15">
        <v>3</v>
      </c>
      <c r="DJ10" s="562">
        <v>938.9</v>
      </c>
      <c r="DK10" s="586">
        <v>45119</v>
      </c>
      <c r="DL10" s="562">
        <v>938.9</v>
      </c>
      <c r="DM10" s="587" t="s">
        <v>575</v>
      </c>
      <c r="DN10" s="588">
        <v>0</v>
      </c>
      <c r="DO10" s="368">
        <f t="shared" si="16"/>
        <v>0</v>
      </c>
      <c r="DR10" s="93"/>
      <c r="DS10" s="15">
        <v>3</v>
      </c>
      <c r="DT10" s="562">
        <v>936.2</v>
      </c>
      <c r="DU10" s="586">
        <v>45119</v>
      </c>
      <c r="DV10" s="562">
        <v>936.2</v>
      </c>
      <c r="DW10" s="587" t="s">
        <v>583</v>
      </c>
      <c r="DX10" s="588">
        <v>48</v>
      </c>
      <c r="DY10" s="363">
        <f t="shared" si="17"/>
        <v>44937.600000000006</v>
      </c>
      <c r="EB10" s="93"/>
      <c r="EC10" s="15">
        <v>3</v>
      </c>
      <c r="ED10" s="68">
        <v>884.5</v>
      </c>
      <c r="EE10" s="238">
        <v>45120</v>
      </c>
      <c r="EF10" s="68">
        <v>884.5</v>
      </c>
      <c r="EG10" s="69" t="s">
        <v>590</v>
      </c>
      <c r="EH10" s="70">
        <v>48</v>
      </c>
      <c r="EI10" s="363">
        <f t="shared" si="18"/>
        <v>42456</v>
      </c>
      <c r="EL10" s="93"/>
      <c r="EM10" s="15">
        <v>3</v>
      </c>
      <c r="EN10" s="68">
        <v>876.3</v>
      </c>
      <c r="EO10" s="238">
        <v>45121</v>
      </c>
      <c r="EP10" s="68">
        <v>876.3</v>
      </c>
      <c r="EQ10" s="69" t="s">
        <v>593</v>
      </c>
      <c r="ER10" s="70">
        <v>49</v>
      </c>
      <c r="ES10" s="363">
        <f t="shared" si="19"/>
        <v>42938.7</v>
      </c>
      <c r="EV10" s="316"/>
      <c r="EW10" s="15">
        <v>3</v>
      </c>
      <c r="EX10" s="562">
        <v>904</v>
      </c>
      <c r="EY10" s="640">
        <v>45122</v>
      </c>
      <c r="EZ10" s="562">
        <v>904</v>
      </c>
      <c r="FA10" s="563" t="s">
        <v>612</v>
      </c>
      <c r="FB10" s="564">
        <v>51</v>
      </c>
      <c r="FC10" s="363">
        <f t="shared" si="20"/>
        <v>46104</v>
      </c>
      <c r="FF10" s="316"/>
      <c r="FG10" s="15">
        <v>3</v>
      </c>
      <c r="FH10" s="562">
        <v>920.3</v>
      </c>
      <c r="FI10" s="640">
        <v>45125</v>
      </c>
      <c r="FJ10" s="562">
        <v>920.3</v>
      </c>
      <c r="FK10" s="563" t="s">
        <v>636</v>
      </c>
      <c r="FL10" s="564">
        <v>51</v>
      </c>
      <c r="FM10" s="230">
        <f t="shared" si="21"/>
        <v>46935.299999999996</v>
      </c>
      <c r="FP10" s="93"/>
      <c r="FQ10" s="15">
        <v>3</v>
      </c>
      <c r="FR10" s="562">
        <v>871.3</v>
      </c>
      <c r="FS10" s="231">
        <v>45128</v>
      </c>
      <c r="FT10" s="562">
        <v>871.3</v>
      </c>
      <c r="FU10" s="69" t="s">
        <v>669</v>
      </c>
      <c r="FV10" s="70">
        <v>0</v>
      </c>
      <c r="FW10" s="363">
        <f t="shared" si="22"/>
        <v>0</v>
      </c>
      <c r="FZ10" s="93"/>
      <c r="GA10" s="15">
        <v>3</v>
      </c>
      <c r="GB10" s="336">
        <v>893.6</v>
      </c>
      <c r="GC10" s="231">
        <v>45126</v>
      </c>
      <c r="GD10" s="336">
        <v>893.6</v>
      </c>
      <c r="GE10" s="94" t="s">
        <v>646</v>
      </c>
      <c r="GF10" s="70">
        <v>51</v>
      </c>
      <c r="GG10" s="363">
        <f t="shared" si="23"/>
        <v>45573.599999999999</v>
      </c>
      <c r="GJ10" s="93"/>
      <c r="GK10" s="15">
        <v>3</v>
      </c>
      <c r="GL10" s="91">
        <v>907.6</v>
      </c>
      <c r="GM10" s="231">
        <v>45127</v>
      </c>
      <c r="GN10" s="91">
        <v>907.6</v>
      </c>
      <c r="GO10" s="94" t="s">
        <v>652</v>
      </c>
      <c r="GP10" s="70">
        <v>51</v>
      </c>
      <c r="GQ10" s="363">
        <f t="shared" si="24"/>
        <v>46287.6</v>
      </c>
      <c r="GT10" s="93"/>
      <c r="GU10" s="15">
        <v>3</v>
      </c>
      <c r="GV10" s="91">
        <v>868.2</v>
      </c>
      <c r="GW10" s="231">
        <v>45128</v>
      </c>
      <c r="GX10" s="91">
        <v>868.2</v>
      </c>
      <c r="GY10" s="94" t="s">
        <v>665</v>
      </c>
      <c r="GZ10" s="70">
        <v>51</v>
      </c>
      <c r="HA10" s="363">
        <f t="shared" si="25"/>
        <v>44278.200000000004</v>
      </c>
      <c r="HD10" s="93"/>
      <c r="HE10" s="15">
        <v>3</v>
      </c>
      <c r="HF10" s="562">
        <v>909</v>
      </c>
      <c r="HG10" s="640">
        <v>45135</v>
      </c>
      <c r="HH10" s="562">
        <v>909</v>
      </c>
      <c r="HI10" s="693" t="s">
        <v>715</v>
      </c>
      <c r="HJ10" s="564">
        <v>0</v>
      </c>
      <c r="HK10" s="363">
        <f t="shared" si="26"/>
        <v>0</v>
      </c>
      <c r="HN10" s="93"/>
      <c r="HO10" s="624">
        <v>3</v>
      </c>
      <c r="HP10" s="562">
        <v>907.2</v>
      </c>
      <c r="HQ10" s="231">
        <v>45132</v>
      </c>
      <c r="HR10" s="562">
        <v>907.2</v>
      </c>
      <c r="HS10" s="278" t="s">
        <v>687</v>
      </c>
      <c r="HT10" s="70">
        <v>51</v>
      </c>
      <c r="HU10" s="363">
        <f t="shared" si="27"/>
        <v>46267.200000000004</v>
      </c>
      <c r="HX10" s="103"/>
      <c r="HY10" s="15">
        <v>3</v>
      </c>
      <c r="HZ10" s="565">
        <v>918.1</v>
      </c>
      <c r="IA10" s="646">
        <v>45133</v>
      </c>
      <c r="IB10" s="565">
        <v>918.1</v>
      </c>
      <c r="IC10" s="563" t="s">
        <v>700</v>
      </c>
      <c r="ID10" s="564">
        <v>51</v>
      </c>
      <c r="IE10" s="363">
        <f t="shared" si="6"/>
        <v>46823.1</v>
      </c>
      <c r="IH10" s="93"/>
      <c r="II10" s="15">
        <v>3</v>
      </c>
      <c r="IJ10" s="68">
        <v>886.3</v>
      </c>
      <c r="IK10" s="238">
        <v>45134</v>
      </c>
      <c r="IL10" s="68">
        <v>886.3</v>
      </c>
      <c r="IM10" s="69" t="s">
        <v>711</v>
      </c>
      <c r="IN10" s="70">
        <v>51</v>
      </c>
      <c r="IO10" s="230">
        <f t="shared" si="28"/>
        <v>45201.299999999996</v>
      </c>
      <c r="IR10" s="93"/>
      <c r="IS10" s="15">
        <v>3</v>
      </c>
      <c r="IT10" s="68">
        <v>928</v>
      </c>
      <c r="IU10" s="238">
        <v>45135</v>
      </c>
      <c r="IV10" s="68">
        <v>928</v>
      </c>
      <c r="IW10" s="69" t="s">
        <v>720</v>
      </c>
      <c r="IX10" s="70">
        <v>51</v>
      </c>
      <c r="IY10" s="230">
        <f t="shared" si="29"/>
        <v>47328</v>
      </c>
      <c r="IZ10" s="91"/>
      <c r="JA10" s="68"/>
      <c r="JB10" s="93"/>
      <c r="JC10" s="15">
        <v>3</v>
      </c>
      <c r="JD10" s="91">
        <v>968.87</v>
      </c>
      <c r="JE10" s="238">
        <v>45136</v>
      </c>
      <c r="JF10" s="91">
        <v>968.87</v>
      </c>
      <c r="JG10" s="69" t="s">
        <v>730</v>
      </c>
      <c r="JH10" s="70">
        <v>51</v>
      </c>
      <c r="JI10" s="363">
        <f t="shared" si="30"/>
        <v>49412.37</v>
      </c>
      <c r="JJ10" s="68"/>
      <c r="JL10" s="93"/>
      <c r="JM10" s="15">
        <v>3</v>
      </c>
      <c r="JN10" s="91"/>
      <c r="JO10" s="231"/>
      <c r="JP10" s="91"/>
      <c r="JQ10" s="69"/>
      <c r="JR10" s="70"/>
      <c r="JS10" s="363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3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3">
        <f t="shared" si="33"/>
        <v>0</v>
      </c>
      <c r="KP10" s="103"/>
      <c r="KQ10" s="15">
        <v>3</v>
      </c>
      <c r="KR10" s="68"/>
      <c r="KS10" s="238"/>
      <c r="KT10" s="68"/>
      <c r="KU10" s="563"/>
      <c r="KV10" s="564"/>
      <c r="KW10" s="363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3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3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3">
        <f t="shared" si="37"/>
        <v>0</v>
      </c>
      <c r="MB10" s="363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100343380</v>
      </c>
      <c r="E11" s="131">
        <f t="shared" si="59"/>
        <v>45115</v>
      </c>
      <c r="F11" s="85">
        <f t="shared" si="59"/>
        <v>18866.11</v>
      </c>
      <c r="G11" s="72">
        <f t="shared" si="59"/>
        <v>21</v>
      </c>
      <c r="H11" s="48">
        <f t="shared" si="59"/>
        <v>19006.400000000001</v>
      </c>
      <c r="I11" s="102">
        <f t="shared" si="59"/>
        <v>-140.29000000000087</v>
      </c>
      <c r="K11" s="60"/>
      <c r="L11" s="103"/>
      <c r="M11" s="15">
        <v>4</v>
      </c>
      <c r="N11" s="68">
        <v>941.65</v>
      </c>
      <c r="O11" s="238">
        <v>45108</v>
      </c>
      <c r="P11" s="68">
        <v>941.65</v>
      </c>
      <c r="Q11" s="69" t="s">
        <v>304</v>
      </c>
      <c r="R11" s="70">
        <v>45</v>
      </c>
      <c r="S11" s="363">
        <f t="shared" si="8"/>
        <v>42374.25</v>
      </c>
      <c r="U11" s="60"/>
      <c r="V11" s="103"/>
      <c r="W11" s="15">
        <v>4</v>
      </c>
      <c r="X11" s="565">
        <v>864</v>
      </c>
      <c r="Y11" s="646">
        <v>45111</v>
      </c>
      <c r="Z11" s="565">
        <v>864</v>
      </c>
      <c r="AA11" s="563" t="s">
        <v>504</v>
      </c>
      <c r="AB11" s="564">
        <v>42</v>
      </c>
      <c r="AC11" s="363">
        <f t="shared" si="9"/>
        <v>36288</v>
      </c>
      <c r="AE11" s="60"/>
      <c r="AF11" s="103"/>
      <c r="AG11" s="15">
        <v>4</v>
      </c>
      <c r="AH11" s="562">
        <v>867.7</v>
      </c>
      <c r="AI11" s="640">
        <v>45111</v>
      </c>
      <c r="AJ11" s="562">
        <v>867.7</v>
      </c>
      <c r="AK11" s="693" t="s">
        <v>503</v>
      </c>
      <c r="AL11" s="564">
        <v>45</v>
      </c>
      <c r="AM11" s="363">
        <f t="shared" si="10"/>
        <v>39046.5</v>
      </c>
      <c r="AO11" s="60"/>
      <c r="AP11" s="103"/>
      <c r="AQ11" s="15">
        <v>4</v>
      </c>
      <c r="AR11" s="562">
        <v>940.7</v>
      </c>
      <c r="AS11" s="640">
        <v>45112</v>
      </c>
      <c r="AT11" s="562">
        <v>940.7</v>
      </c>
      <c r="AU11" s="693" t="s">
        <v>516</v>
      </c>
      <c r="AV11" s="564">
        <v>45</v>
      </c>
      <c r="AW11" s="363">
        <f t="shared" si="11"/>
        <v>42331.5</v>
      </c>
      <c r="AY11" s="60"/>
      <c r="AZ11" s="103"/>
      <c r="BA11" s="15">
        <v>4</v>
      </c>
      <c r="BB11" s="91">
        <v>910.8</v>
      </c>
      <c r="BC11" s="231">
        <v>45113</v>
      </c>
      <c r="BD11" s="91">
        <v>910.8</v>
      </c>
      <c r="BE11" s="94" t="s">
        <v>519</v>
      </c>
      <c r="BF11" s="70">
        <v>45</v>
      </c>
      <c r="BG11" s="363">
        <f t="shared" si="12"/>
        <v>40986</v>
      </c>
      <c r="BI11" s="60"/>
      <c r="BJ11" s="103"/>
      <c r="BK11" s="15">
        <v>4</v>
      </c>
      <c r="BL11" s="91">
        <v>880.9</v>
      </c>
      <c r="BM11" s="231">
        <v>45114</v>
      </c>
      <c r="BN11" s="91">
        <v>880.9</v>
      </c>
      <c r="BO11" s="94" t="s">
        <v>538</v>
      </c>
      <c r="BP11" s="70">
        <v>46</v>
      </c>
      <c r="BQ11" s="440">
        <f t="shared" si="13"/>
        <v>40521.4</v>
      </c>
      <c r="BR11" s="363"/>
      <c r="BS11" s="60"/>
      <c r="BT11" s="103"/>
      <c r="BU11" s="15">
        <v>4</v>
      </c>
      <c r="BV11" s="562">
        <v>892.7</v>
      </c>
      <c r="BW11" s="586">
        <v>45113</v>
      </c>
      <c r="BX11" s="562">
        <v>892.7</v>
      </c>
      <c r="BY11" s="734" t="s">
        <v>523</v>
      </c>
      <c r="BZ11" s="588">
        <v>45</v>
      </c>
      <c r="CA11" s="230">
        <f t="shared" si="5"/>
        <v>40171.5</v>
      </c>
      <c r="CC11" s="60"/>
      <c r="CD11" s="202"/>
      <c r="CE11" s="15">
        <v>4</v>
      </c>
      <c r="CF11" s="91">
        <v>920.8</v>
      </c>
      <c r="CG11" s="275">
        <v>45115</v>
      </c>
      <c r="CH11" s="91">
        <v>920.8</v>
      </c>
      <c r="CI11" s="277" t="s">
        <v>543</v>
      </c>
      <c r="CJ11" s="276">
        <v>46</v>
      </c>
      <c r="CK11" s="363">
        <f t="shared" si="14"/>
        <v>42356.799999999996</v>
      </c>
      <c r="CM11" s="60"/>
      <c r="CN11" s="93"/>
      <c r="CO11" s="15">
        <v>4</v>
      </c>
      <c r="CP11" s="562">
        <v>935.8</v>
      </c>
      <c r="CQ11" s="586">
        <v>45118</v>
      </c>
      <c r="CR11" s="562">
        <v>935.8</v>
      </c>
      <c r="CS11" s="587" t="s">
        <v>564</v>
      </c>
      <c r="CT11" s="276">
        <v>47</v>
      </c>
      <c r="CU11" s="368">
        <f t="shared" si="58"/>
        <v>43982.6</v>
      </c>
      <c r="CW11" s="60"/>
      <c r="CX11" s="103"/>
      <c r="CY11" s="15">
        <v>4</v>
      </c>
      <c r="CZ11" s="562">
        <v>295.5</v>
      </c>
      <c r="DA11" s="640">
        <v>45118</v>
      </c>
      <c r="DB11" s="562">
        <v>295.5</v>
      </c>
      <c r="DC11" s="693" t="s">
        <v>570</v>
      </c>
      <c r="DD11" s="564">
        <v>42</v>
      </c>
      <c r="DE11" s="363">
        <f t="shared" si="15"/>
        <v>12411</v>
      </c>
      <c r="DG11" s="60"/>
      <c r="DH11" s="103"/>
      <c r="DI11" s="15">
        <v>4</v>
      </c>
      <c r="DJ11" s="562">
        <v>906.3</v>
      </c>
      <c r="DK11" s="586">
        <v>45119</v>
      </c>
      <c r="DL11" s="562">
        <v>906.3</v>
      </c>
      <c r="DM11" s="587" t="s">
        <v>575</v>
      </c>
      <c r="DN11" s="588">
        <v>0</v>
      </c>
      <c r="DO11" s="368">
        <f t="shared" si="16"/>
        <v>0</v>
      </c>
      <c r="DQ11" s="60"/>
      <c r="DR11" s="103"/>
      <c r="DS11" s="15">
        <v>4</v>
      </c>
      <c r="DT11" s="562">
        <v>884.5</v>
      </c>
      <c r="DU11" s="586">
        <v>45119</v>
      </c>
      <c r="DV11" s="562">
        <v>884.5</v>
      </c>
      <c r="DW11" s="587" t="s">
        <v>583</v>
      </c>
      <c r="DX11" s="588">
        <v>48</v>
      </c>
      <c r="DY11" s="363">
        <f t="shared" si="17"/>
        <v>42456</v>
      </c>
      <c r="EA11" s="60"/>
      <c r="EB11" s="103"/>
      <c r="EC11" s="15">
        <v>4</v>
      </c>
      <c r="ED11" s="68">
        <v>880</v>
      </c>
      <c r="EE11" s="238">
        <v>45120</v>
      </c>
      <c r="EF11" s="68">
        <v>880</v>
      </c>
      <c r="EG11" s="69" t="s">
        <v>590</v>
      </c>
      <c r="EH11" s="70">
        <v>48</v>
      </c>
      <c r="EI11" s="363">
        <f t="shared" si="18"/>
        <v>42240</v>
      </c>
      <c r="EK11" s="60"/>
      <c r="EL11" s="103"/>
      <c r="EM11" s="15">
        <v>4</v>
      </c>
      <c r="EN11" s="68">
        <v>893.6</v>
      </c>
      <c r="EO11" s="238">
        <v>45121</v>
      </c>
      <c r="EP11" s="68">
        <v>893.6</v>
      </c>
      <c r="EQ11" s="69" t="s">
        <v>593</v>
      </c>
      <c r="ER11" s="70">
        <v>49</v>
      </c>
      <c r="ES11" s="363">
        <f t="shared" si="19"/>
        <v>43786.400000000001</v>
      </c>
      <c r="EU11" s="455"/>
      <c r="EV11" s="316"/>
      <c r="EW11" s="15">
        <v>4</v>
      </c>
      <c r="EX11" s="562">
        <v>891.8</v>
      </c>
      <c r="EY11" s="640">
        <v>45122</v>
      </c>
      <c r="EZ11" s="562">
        <v>891.8</v>
      </c>
      <c r="FA11" s="563" t="s">
        <v>612</v>
      </c>
      <c r="FB11" s="564">
        <v>51</v>
      </c>
      <c r="FC11" s="363">
        <f t="shared" si="20"/>
        <v>45481.799999999996</v>
      </c>
      <c r="FE11" s="60"/>
      <c r="FF11" s="316"/>
      <c r="FG11" s="15">
        <v>4</v>
      </c>
      <c r="FH11" s="562">
        <v>873.6</v>
      </c>
      <c r="FI11" s="640">
        <v>45125</v>
      </c>
      <c r="FJ11" s="562">
        <v>873.6</v>
      </c>
      <c r="FK11" s="563" t="s">
        <v>636</v>
      </c>
      <c r="FL11" s="564">
        <v>51</v>
      </c>
      <c r="FM11" s="230">
        <f t="shared" si="21"/>
        <v>44553.599999999999</v>
      </c>
      <c r="FO11" s="60"/>
      <c r="FP11" s="103"/>
      <c r="FQ11" s="15">
        <v>4</v>
      </c>
      <c r="FR11" s="562">
        <v>875.4</v>
      </c>
      <c r="FS11" s="231">
        <v>45128</v>
      </c>
      <c r="FT11" s="562">
        <v>875.4</v>
      </c>
      <c r="FU11" s="69" t="s">
        <v>669</v>
      </c>
      <c r="FV11" s="70">
        <v>0</v>
      </c>
      <c r="FW11" s="363">
        <f t="shared" si="22"/>
        <v>0</v>
      </c>
      <c r="FY11" s="60"/>
      <c r="FZ11" s="103"/>
      <c r="GA11" s="15">
        <v>4</v>
      </c>
      <c r="GB11" s="336">
        <v>916.7</v>
      </c>
      <c r="GC11" s="231">
        <v>45126</v>
      </c>
      <c r="GD11" s="336">
        <v>916.7</v>
      </c>
      <c r="GE11" s="94" t="s">
        <v>646</v>
      </c>
      <c r="GF11" s="70">
        <v>51</v>
      </c>
      <c r="GG11" s="363">
        <f t="shared" si="23"/>
        <v>46751.700000000004</v>
      </c>
      <c r="GI11" s="60"/>
      <c r="GJ11" s="103"/>
      <c r="GK11" s="15">
        <v>4</v>
      </c>
      <c r="GL11" s="91">
        <v>919.4</v>
      </c>
      <c r="GM11" s="231">
        <v>45127</v>
      </c>
      <c r="GN11" s="91">
        <v>919.4</v>
      </c>
      <c r="GO11" s="94" t="s">
        <v>652</v>
      </c>
      <c r="GP11" s="70">
        <v>51</v>
      </c>
      <c r="GQ11" s="363">
        <f t="shared" si="24"/>
        <v>46889.4</v>
      </c>
      <c r="GS11" s="60"/>
      <c r="GT11" s="103"/>
      <c r="GU11" s="15">
        <v>4</v>
      </c>
      <c r="GV11" s="91">
        <v>915.3</v>
      </c>
      <c r="GW11" s="231">
        <v>45128</v>
      </c>
      <c r="GX11" s="91">
        <v>915.3</v>
      </c>
      <c r="GY11" s="94" t="s">
        <v>665</v>
      </c>
      <c r="GZ11" s="70">
        <v>51</v>
      </c>
      <c r="HA11" s="363">
        <f t="shared" si="25"/>
        <v>46680.299999999996</v>
      </c>
      <c r="HC11" s="60"/>
      <c r="HD11" s="103"/>
      <c r="HE11" s="15">
        <v>4</v>
      </c>
      <c r="HF11" s="562">
        <v>887.2</v>
      </c>
      <c r="HG11" s="640"/>
      <c r="HH11" s="562"/>
      <c r="HI11" s="693"/>
      <c r="HJ11" s="564"/>
      <c r="HK11" s="363">
        <f t="shared" si="26"/>
        <v>0</v>
      </c>
      <c r="HM11" s="60"/>
      <c r="HN11" s="103"/>
      <c r="HO11" s="624">
        <v>4</v>
      </c>
      <c r="HP11" s="562">
        <v>904.5</v>
      </c>
      <c r="HQ11" s="231">
        <v>45132</v>
      </c>
      <c r="HR11" s="562">
        <v>904.5</v>
      </c>
      <c r="HS11" s="278" t="s">
        <v>687</v>
      </c>
      <c r="HT11" s="70">
        <v>51</v>
      </c>
      <c r="HU11" s="363">
        <f t="shared" si="27"/>
        <v>46129.5</v>
      </c>
      <c r="HW11" s="60"/>
      <c r="HX11" s="103"/>
      <c r="HY11" s="15">
        <v>4</v>
      </c>
      <c r="HZ11" s="565">
        <v>893.6</v>
      </c>
      <c r="IA11" s="646">
        <v>45133</v>
      </c>
      <c r="IB11" s="565">
        <v>893.6</v>
      </c>
      <c r="IC11" s="563" t="s">
        <v>700</v>
      </c>
      <c r="ID11" s="564">
        <v>51</v>
      </c>
      <c r="IE11" s="363">
        <f t="shared" si="6"/>
        <v>45573.599999999999</v>
      </c>
      <c r="IG11" s="60"/>
      <c r="IH11" s="103"/>
      <c r="II11" s="15">
        <v>4</v>
      </c>
      <c r="IJ11" s="68">
        <v>888.1</v>
      </c>
      <c r="IK11" s="238">
        <v>45134</v>
      </c>
      <c r="IL11" s="68">
        <v>888.1</v>
      </c>
      <c r="IM11" s="69" t="s">
        <v>711</v>
      </c>
      <c r="IN11" s="70">
        <v>51</v>
      </c>
      <c r="IO11" s="230">
        <f t="shared" si="28"/>
        <v>45293.1</v>
      </c>
      <c r="IQ11" s="60"/>
      <c r="IR11" s="103"/>
      <c r="IS11" s="15">
        <v>4</v>
      </c>
      <c r="IT11" s="68">
        <v>904.5</v>
      </c>
      <c r="IU11" s="238">
        <v>45135</v>
      </c>
      <c r="IV11" s="68">
        <v>904.5</v>
      </c>
      <c r="IW11" s="69" t="s">
        <v>720</v>
      </c>
      <c r="IX11" s="70">
        <v>51</v>
      </c>
      <c r="IY11" s="230">
        <f t="shared" si="29"/>
        <v>46129.5</v>
      </c>
      <c r="IZ11" s="91"/>
      <c r="JA11" s="68"/>
      <c r="JB11" s="103"/>
      <c r="JC11" s="15">
        <v>4</v>
      </c>
      <c r="JD11" s="91">
        <v>929.86</v>
      </c>
      <c r="JE11" s="238">
        <v>45136</v>
      </c>
      <c r="JF11" s="91">
        <v>929.86</v>
      </c>
      <c r="JG11" s="69" t="s">
        <v>730</v>
      </c>
      <c r="JH11" s="70">
        <v>51</v>
      </c>
      <c r="JI11" s="363">
        <f t="shared" si="30"/>
        <v>47422.86</v>
      </c>
      <c r="JJ11" s="68"/>
      <c r="JK11" s="60"/>
      <c r="JL11" s="103"/>
      <c r="JM11" s="15">
        <v>4</v>
      </c>
      <c r="JN11" s="91"/>
      <c r="JO11" s="231"/>
      <c r="JP11" s="91"/>
      <c r="JQ11" s="69"/>
      <c r="JR11" s="70"/>
      <c r="JS11" s="363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3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3">
        <f t="shared" si="33"/>
        <v>0</v>
      </c>
      <c r="KO11" s="60"/>
      <c r="KP11" s="103"/>
      <c r="KQ11" s="15">
        <v>4</v>
      </c>
      <c r="KR11" s="68"/>
      <c r="KS11" s="238"/>
      <c r="KT11" s="68"/>
      <c r="KU11" s="563"/>
      <c r="KV11" s="564"/>
      <c r="KW11" s="363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3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3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3">
        <f t="shared" si="37"/>
        <v>0</v>
      </c>
      <c r="MB11" s="363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100413516</v>
      </c>
      <c r="E12" s="131">
        <f t="shared" si="60"/>
        <v>45118</v>
      </c>
      <c r="F12" s="85">
        <f t="shared" si="60"/>
        <v>19063.169999999998</v>
      </c>
      <c r="G12" s="72">
        <f t="shared" si="60"/>
        <v>21</v>
      </c>
      <c r="H12" s="48">
        <f t="shared" si="60"/>
        <v>19098.7</v>
      </c>
      <c r="I12" s="102">
        <f t="shared" si="60"/>
        <v>-35.530000000002474</v>
      </c>
      <c r="L12" s="103"/>
      <c r="M12" s="15">
        <v>5</v>
      </c>
      <c r="N12" s="68">
        <v>956.17</v>
      </c>
      <c r="O12" s="238">
        <v>45108</v>
      </c>
      <c r="P12" s="68">
        <v>956.17</v>
      </c>
      <c r="Q12" s="69" t="s">
        <v>304</v>
      </c>
      <c r="R12" s="70">
        <v>45</v>
      </c>
      <c r="S12" s="363">
        <f t="shared" si="8"/>
        <v>43027.65</v>
      </c>
      <c r="V12" s="103"/>
      <c r="W12" s="15">
        <v>5</v>
      </c>
      <c r="X12" s="565">
        <v>833.5</v>
      </c>
      <c r="Y12" s="646">
        <v>45111</v>
      </c>
      <c r="Z12" s="565">
        <v>833.5</v>
      </c>
      <c r="AA12" s="563" t="s">
        <v>504</v>
      </c>
      <c r="AB12" s="564">
        <v>42</v>
      </c>
      <c r="AC12" s="363">
        <f t="shared" si="9"/>
        <v>35007</v>
      </c>
      <c r="AF12" s="103"/>
      <c r="AG12" s="15">
        <v>5</v>
      </c>
      <c r="AH12" s="562">
        <v>924.9</v>
      </c>
      <c r="AI12" s="640">
        <v>45111</v>
      </c>
      <c r="AJ12" s="562">
        <v>924.9</v>
      </c>
      <c r="AK12" s="693" t="s">
        <v>503</v>
      </c>
      <c r="AL12" s="564">
        <v>45</v>
      </c>
      <c r="AM12" s="363">
        <f t="shared" si="10"/>
        <v>41620.5</v>
      </c>
      <c r="AP12" s="103"/>
      <c r="AQ12" s="15">
        <v>5</v>
      </c>
      <c r="AR12" s="562">
        <v>930.3</v>
      </c>
      <c r="AS12" s="640">
        <v>45112</v>
      </c>
      <c r="AT12" s="562">
        <v>930.3</v>
      </c>
      <c r="AU12" s="693" t="s">
        <v>516</v>
      </c>
      <c r="AV12" s="564">
        <v>45</v>
      </c>
      <c r="AW12" s="363">
        <f t="shared" si="11"/>
        <v>41863.5</v>
      </c>
      <c r="AZ12" s="103"/>
      <c r="BA12" s="15">
        <v>5</v>
      </c>
      <c r="BB12" s="91">
        <v>889</v>
      </c>
      <c r="BC12" s="231">
        <v>45114</v>
      </c>
      <c r="BD12" s="91">
        <v>889</v>
      </c>
      <c r="BE12" s="94" t="s">
        <v>532</v>
      </c>
      <c r="BF12" s="70">
        <v>46</v>
      </c>
      <c r="BG12" s="363">
        <f t="shared" si="12"/>
        <v>40894</v>
      </c>
      <c r="BJ12" s="103"/>
      <c r="BK12" s="15">
        <v>5</v>
      </c>
      <c r="BL12" s="91">
        <v>909.9</v>
      </c>
      <c r="BM12" s="231">
        <v>45114</v>
      </c>
      <c r="BN12" s="91">
        <v>909.9</v>
      </c>
      <c r="BO12" s="94" t="s">
        <v>538</v>
      </c>
      <c r="BP12" s="70">
        <v>46</v>
      </c>
      <c r="BQ12" s="440">
        <f t="shared" si="13"/>
        <v>41855.4</v>
      </c>
      <c r="BR12" s="363"/>
      <c r="BT12" s="103"/>
      <c r="BU12" s="15">
        <v>5</v>
      </c>
      <c r="BV12" s="562">
        <v>879.1</v>
      </c>
      <c r="BW12" s="586">
        <v>45113</v>
      </c>
      <c r="BX12" s="562">
        <v>879.1</v>
      </c>
      <c r="BY12" s="734" t="s">
        <v>523</v>
      </c>
      <c r="BZ12" s="588">
        <v>45</v>
      </c>
      <c r="CA12" s="230">
        <f t="shared" si="5"/>
        <v>39559.5</v>
      </c>
      <c r="CD12" s="202"/>
      <c r="CE12" s="15">
        <v>5</v>
      </c>
      <c r="CF12" s="91">
        <v>886.3</v>
      </c>
      <c r="CG12" s="275">
        <v>45115</v>
      </c>
      <c r="CH12" s="91">
        <v>886.3</v>
      </c>
      <c r="CI12" s="277" t="s">
        <v>543</v>
      </c>
      <c r="CJ12" s="276">
        <v>46</v>
      </c>
      <c r="CK12" s="363">
        <f t="shared" si="14"/>
        <v>40769.799999999996</v>
      </c>
      <c r="CN12" s="93"/>
      <c r="CO12" s="15">
        <v>5</v>
      </c>
      <c r="CP12" s="562">
        <v>868.2</v>
      </c>
      <c r="CQ12" s="586">
        <v>45118</v>
      </c>
      <c r="CR12" s="562">
        <v>868.2</v>
      </c>
      <c r="CS12" s="587" t="s">
        <v>565</v>
      </c>
      <c r="CT12" s="276">
        <v>47</v>
      </c>
      <c r="CU12" s="368">
        <f t="shared" si="58"/>
        <v>40805.4</v>
      </c>
      <c r="CX12" s="103"/>
      <c r="CY12" s="15">
        <v>5</v>
      </c>
      <c r="CZ12" s="562">
        <v>794.5</v>
      </c>
      <c r="DA12" s="640">
        <v>45118</v>
      </c>
      <c r="DB12" s="562">
        <v>794.5</v>
      </c>
      <c r="DC12" s="693" t="s">
        <v>570</v>
      </c>
      <c r="DD12" s="564">
        <v>42</v>
      </c>
      <c r="DE12" s="363">
        <f t="shared" si="15"/>
        <v>33369</v>
      </c>
      <c r="DH12" s="103"/>
      <c r="DI12" s="15">
        <v>5</v>
      </c>
      <c r="DJ12" s="562">
        <v>940.7</v>
      </c>
      <c r="DK12" s="586">
        <v>45119</v>
      </c>
      <c r="DL12" s="562">
        <v>940.7</v>
      </c>
      <c r="DM12" s="587" t="s">
        <v>575</v>
      </c>
      <c r="DN12" s="588">
        <v>0</v>
      </c>
      <c r="DO12" s="368">
        <f t="shared" si="16"/>
        <v>0</v>
      </c>
      <c r="DR12" s="103"/>
      <c r="DS12" s="15">
        <v>5</v>
      </c>
      <c r="DT12" s="562">
        <v>909</v>
      </c>
      <c r="DU12" s="586">
        <v>45119</v>
      </c>
      <c r="DV12" s="562">
        <v>909</v>
      </c>
      <c r="DW12" s="587" t="s">
        <v>583</v>
      </c>
      <c r="DX12" s="588">
        <v>48</v>
      </c>
      <c r="DY12" s="363">
        <f t="shared" si="17"/>
        <v>43632</v>
      </c>
      <c r="EB12" s="103"/>
      <c r="EC12" s="15">
        <v>5</v>
      </c>
      <c r="ED12" s="68">
        <v>894.5</v>
      </c>
      <c r="EE12" s="238">
        <v>45120</v>
      </c>
      <c r="EF12" s="68">
        <v>894.5</v>
      </c>
      <c r="EG12" s="69" t="s">
        <v>590</v>
      </c>
      <c r="EH12" s="70">
        <v>48</v>
      </c>
      <c r="EI12" s="363">
        <f t="shared" si="18"/>
        <v>42936</v>
      </c>
      <c r="EL12" s="103"/>
      <c r="EM12" s="15">
        <v>5</v>
      </c>
      <c r="EN12" s="68">
        <v>874.5</v>
      </c>
      <c r="EO12" s="238">
        <v>45121</v>
      </c>
      <c r="EP12" s="68">
        <v>874.5</v>
      </c>
      <c r="EQ12" s="69" t="s">
        <v>593</v>
      </c>
      <c r="ER12" s="70">
        <v>49</v>
      </c>
      <c r="ES12" s="363">
        <f t="shared" si="19"/>
        <v>42850.5</v>
      </c>
      <c r="EV12" s="316"/>
      <c r="EW12" s="15">
        <v>5</v>
      </c>
      <c r="EX12" s="562">
        <v>933.5</v>
      </c>
      <c r="EY12" s="640">
        <v>45122</v>
      </c>
      <c r="EZ12" s="562">
        <v>933.5</v>
      </c>
      <c r="FA12" s="563" t="s">
        <v>612</v>
      </c>
      <c r="FB12" s="564">
        <v>51</v>
      </c>
      <c r="FC12" s="363">
        <f t="shared" si="20"/>
        <v>47608.5</v>
      </c>
      <c r="FF12" s="316"/>
      <c r="FG12" s="15">
        <v>5</v>
      </c>
      <c r="FH12" s="562">
        <v>934.4</v>
      </c>
      <c r="FI12" s="640">
        <v>45125</v>
      </c>
      <c r="FJ12" s="562">
        <v>934.4</v>
      </c>
      <c r="FK12" s="563" t="s">
        <v>636</v>
      </c>
      <c r="FL12" s="564">
        <v>51</v>
      </c>
      <c r="FM12" s="230">
        <f t="shared" si="21"/>
        <v>47654.400000000001</v>
      </c>
      <c r="FN12" s="74" t="s">
        <v>41</v>
      </c>
      <c r="FP12" s="103"/>
      <c r="FQ12" s="15">
        <v>5</v>
      </c>
      <c r="FR12" s="562">
        <v>916.7</v>
      </c>
      <c r="FS12" s="231">
        <v>45129</v>
      </c>
      <c r="FT12" s="562">
        <v>916.7</v>
      </c>
      <c r="FU12" s="69" t="s">
        <v>675</v>
      </c>
      <c r="FV12" s="70">
        <v>0</v>
      </c>
      <c r="FW12" s="363">
        <f t="shared" si="22"/>
        <v>0</v>
      </c>
      <c r="FZ12" s="103"/>
      <c r="GA12" s="15">
        <v>5</v>
      </c>
      <c r="GB12" s="336">
        <v>899.5</v>
      </c>
      <c r="GC12" s="231">
        <v>45126</v>
      </c>
      <c r="GD12" s="336">
        <v>899.5</v>
      </c>
      <c r="GE12" s="94" t="s">
        <v>646</v>
      </c>
      <c r="GF12" s="70">
        <v>51</v>
      </c>
      <c r="GG12" s="363">
        <f t="shared" si="23"/>
        <v>45874.5</v>
      </c>
      <c r="GJ12" s="103"/>
      <c r="GK12" s="15">
        <v>5</v>
      </c>
      <c r="GL12" s="91">
        <v>922.1</v>
      </c>
      <c r="GM12" s="231">
        <v>45127</v>
      </c>
      <c r="GN12" s="91">
        <v>922.1</v>
      </c>
      <c r="GO12" s="94" t="s">
        <v>652</v>
      </c>
      <c r="GP12" s="70">
        <v>51</v>
      </c>
      <c r="GQ12" s="363">
        <f t="shared" si="24"/>
        <v>47027.1</v>
      </c>
      <c r="GT12" s="103"/>
      <c r="GU12" s="15">
        <v>5</v>
      </c>
      <c r="GV12" s="91">
        <v>889.9</v>
      </c>
      <c r="GW12" s="231">
        <v>45128</v>
      </c>
      <c r="GX12" s="91">
        <v>889.9</v>
      </c>
      <c r="GY12" s="94" t="s">
        <v>665</v>
      </c>
      <c r="GZ12" s="70">
        <v>51</v>
      </c>
      <c r="HA12" s="363">
        <f t="shared" si="25"/>
        <v>45384.9</v>
      </c>
      <c r="HD12" s="103"/>
      <c r="HE12" s="15">
        <v>5</v>
      </c>
      <c r="HF12" s="562">
        <v>889.9</v>
      </c>
      <c r="HG12" s="640">
        <v>45135</v>
      </c>
      <c r="HH12" s="562">
        <v>889.9</v>
      </c>
      <c r="HI12" s="693" t="s">
        <v>715</v>
      </c>
      <c r="HJ12" s="564">
        <v>0</v>
      </c>
      <c r="HK12" s="363">
        <f t="shared" si="26"/>
        <v>0</v>
      </c>
      <c r="HN12" s="103"/>
      <c r="HO12" s="624">
        <v>5</v>
      </c>
      <c r="HP12" s="562">
        <v>895.4</v>
      </c>
      <c r="HQ12" s="231">
        <v>45132</v>
      </c>
      <c r="HR12" s="562">
        <v>895.4</v>
      </c>
      <c r="HS12" s="278" t="s">
        <v>687</v>
      </c>
      <c r="HT12" s="70">
        <v>51</v>
      </c>
      <c r="HU12" s="363">
        <f t="shared" si="27"/>
        <v>45665.4</v>
      </c>
      <c r="HX12" s="103"/>
      <c r="HY12" s="15">
        <v>5</v>
      </c>
      <c r="HZ12" s="565">
        <v>909</v>
      </c>
      <c r="IA12" s="646">
        <v>45133</v>
      </c>
      <c r="IB12" s="565">
        <v>909</v>
      </c>
      <c r="IC12" s="563" t="s">
        <v>700</v>
      </c>
      <c r="ID12" s="564">
        <v>51</v>
      </c>
      <c r="IE12" s="363">
        <f t="shared" si="6"/>
        <v>46359</v>
      </c>
      <c r="IH12" s="103"/>
      <c r="II12" s="15">
        <v>5</v>
      </c>
      <c r="IJ12" s="68">
        <v>885.4</v>
      </c>
      <c r="IK12" s="238">
        <v>45134</v>
      </c>
      <c r="IL12" s="68">
        <v>885.4</v>
      </c>
      <c r="IM12" s="69" t="s">
        <v>711</v>
      </c>
      <c r="IN12" s="70">
        <v>51</v>
      </c>
      <c r="IO12" s="230">
        <f t="shared" si="28"/>
        <v>45155.4</v>
      </c>
      <c r="IR12" s="103"/>
      <c r="IS12" s="15">
        <v>5</v>
      </c>
      <c r="IT12" s="68">
        <v>915.3</v>
      </c>
      <c r="IU12" s="238">
        <v>45135</v>
      </c>
      <c r="IV12" s="68">
        <v>915.3</v>
      </c>
      <c r="IW12" s="69" t="s">
        <v>720</v>
      </c>
      <c r="IX12" s="70">
        <v>51</v>
      </c>
      <c r="IY12" s="230">
        <f t="shared" si="29"/>
        <v>46680.299999999996</v>
      </c>
      <c r="IZ12" s="91"/>
      <c r="JA12" s="68"/>
      <c r="JB12" s="103"/>
      <c r="JC12" s="15">
        <v>5</v>
      </c>
      <c r="JD12" s="91">
        <v>930.77</v>
      </c>
      <c r="JE12" s="238">
        <v>45136</v>
      </c>
      <c r="JF12" s="91">
        <v>930.77</v>
      </c>
      <c r="JG12" s="69" t="s">
        <v>728</v>
      </c>
      <c r="JH12" s="70">
        <v>51</v>
      </c>
      <c r="JI12" s="363">
        <f t="shared" si="30"/>
        <v>47469.27</v>
      </c>
      <c r="JJ12" s="68"/>
      <c r="JL12" s="103"/>
      <c r="JM12" s="15">
        <v>5</v>
      </c>
      <c r="JN12" s="91"/>
      <c r="JO12" s="231"/>
      <c r="JP12" s="91"/>
      <c r="JQ12" s="69"/>
      <c r="JR12" s="70"/>
      <c r="JS12" s="363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3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3">
        <f t="shared" si="33"/>
        <v>0</v>
      </c>
      <c r="KP12" s="103"/>
      <c r="KQ12" s="15">
        <v>5</v>
      </c>
      <c r="KR12" s="68"/>
      <c r="KS12" s="238"/>
      <c r="KT12" s="68"/>
      <c r="KU12" s="563"/>
      <c r="KV12" s="564"/>
      <c r="KW12" s="363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3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3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3">
        <f t="shared" si="37"/>
        <v>0</v>
      </c>
      <c r="MB12" s="363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</v>
      </c>
      <c r="D13" s="99" t="str">
        <f t="shared" si="61"/>
        <v>PED. 100426103</v>
      </c>
      <c r="E13" s="131">
        <f t="shared" si="61"/>
        <v>45118</v>
      </c>
      <c r="F13" s="85">
        <f t="shared" si="61"/>
        <v>18658.54</v>
      </c>
      <c r="G13" s="72">
        <f t="shared" si="61"/>
        <v>24</v>
      </c>
      <c r="H13" s="48">
        <f t="shared" si="61"/>
        <v>18701.5</v>
      </c>
      <c r="I13" s="102">
        <f t="shared" si="61"/>
        <v>-42.959999999999127</v>
      </c>
      <c r="L13" s="103"/>
      <c r="M13" s="15">
        <v>6</v>
      </c>
      <c r="N13" s="68">
        <v>948</v>
      </c>
      <c r="O13" s="1481">
        <v>45111</v>
      </c>
      <c r="P13" s="1482">
        <v>948</v>
      </c>
      <c r="Q13" s="1483" t="s">
        <v>501</v>
      </c>
      <c r="R13" s="1484">
        <v>45</v>
      </c>
      <c r="S13" s="1485">
        <f t="shared" si="8"/>
        <v>42660</v>
      </c>
      <c r="V13" s="103"/>
      <c r="W13" s="15">
        <v>6</v>
      </c>
      <c r="X13" s="565">
        <v>792</v>
      </c>
      <c r="Y13" s="646">
        <v>45111</v>
      </c>
      <c r="Z13" s="565">
        <v>792</v>
      </c>
      <c r="AA13" s="563" t="s">
        <v>504</v>
      </c>
      <c r="AB13" s="564">
        <v>42</v>
      </c>
      <c r="AC13" s="363">
        <f t="shared" si="9"/>
        <v>33264</v>
      </c>
      <c r="AF13" s="103"/>
      <c r="AG13" s="15">
        <v>6</v>
      </c>
      <c r="AH13" s="562">
        <v>927.1</v>
      </c>
      <c r="AI13" s="640">
        <v>45111</v>
      </c>
      <c r="AJ13" s="562">
        <v>927.1</v>
      </c>
      <c r="AK13" s="693" t="s">
        <v>503</v>
      </c>
      <c r="AL13" s="564">
        <v>45</v>
      </c>
      <c r="AM13" s="363">
        <f t="shared" si="10"/>
        <v>41719.5</v>
      </c>
      <c r="AP13" s="103"/>
      <c r="AQ13" s="15">
        <v>6</v>
      </c>
      <c r="AR13" s="562">
        <v>900.4</v>
      </c>
      <c r="AS13" s="640">
        <v>45112</v>
      </c>
      <c r="AT13" s="562">
        <v>900.4</v>
      </c>
      <c r="AU13" s="693" t="s">
        <v>516</v>
      </c>
      <c r="AV13" s="564">
        <v>45</v>
      </c>
      <c r="AW13" s="363">
        <f t="shared" si="11"/>
        <v>40518</v>
      </c>
      <c r="AZ13" s="103"/>
      <c r="BA13" s="15">
        <v>6</v>
      </c>
      <c r="BB13" s="91">
        <v>886.3</v>
      </c>
      <c r="BC13" s="231">
        <v>45114</v>
      </c>
      <c r="BD13" s="91">
        <v>886.3</v>
      </c>
      <c r="BE13" s="94" t="s">
        <v>532</v>
      </c>
      <c r="BF13" s="70">
        <v>46</v>
      </c>
      <c r="BG13" s="363">
        <f t="shared" si="12"/>
        <v>40769.799999999996</v>
      </c>
      <c r="BJ13" s="103"/>
      <c r="BK13" s="15">
        <v>6</v>
      </c>
      <c r="BL13" s="91">
        <v>896.3</v>
      </c>
      <c r="BM13" s="231">
        <v>45114</v>
      </c>
      <c r="BN13" s="91">
        <v>896.3</v>
      </c>
      <c r="BO13" s="94" t="s">
        <v>538</v>
      </c>
      <c r="BP13" s="70">
        <v>46</v>
      </c>
      <c r="BQ13" s="440">
        <f t="shared" si="13"/>
        <v>41229.799999999996</v>
      </c>
      <c r="BR13" s="363"/>
      <c r="BT13" s="103"/>
      <c r="BU13" s="15">
        <v>6</v>
      </c>
      <c r="BV13" s="91">
        <v>918.1</v>
      </c>
      <c r="BW13" s="586">
        <v>45113</v>
      </c>
      <c r="BX13" s="562">
        <v>918.1</v>
      </c>
      <c r="BY13" s="734" t="s">
        <v>523</v>
      </c>
      <c r="BZ13" s="588">
        <v>45</v>
      </c>
      <c r="CA13" s="230">
        <f t="shared" si="5"/>
        <v>41314.5</v>
      </c>
      <c r="CD13" s="202"/>
      <c r="CE13" s="15">
        <v>6</v>
      </c>
      <c r="CF13" s="91">
        <v>917.2</v>
      </c>
      <c r="CG13" s="275">
        <v>45115</v>
      </c>
      <c r="CH13" s="91">
        <v>917.2</v>
      </c>
      <c r="CI13" s="277" t="s">
        <v>543</v>
      </c>
      <c r="CJ13" s="276">
        <v>46</v>
      </c>
      <c r="CK13" s="363">
        <f t="shared" si="14"/>
        <v>42191.200000000004</v>
      </c>
      <c r="CN13" s="93"/>
      <c r="CO13" s="15">
        <v>6</v>
      </c>
      <c r="CP13" s="562">
        <v>931.2</v>
      </c>
      <c r="CQ13" s="586">
        <v>45118</v>
      </c>
      <c r="CR13" s="562">
        <v>931.2</v>
      </c>
      <c r="CS13" s="587" t="s">
        <v>565</v>
      </c>
      <c r="CT13" s="276">
        <v>47</v>
      </c>
      <c r="CU13" s="368">
        <f t="shared" si="58"/>
        <v>43766.400000000001</v>
      </c>
      <c r="CX13" s="103"/>
      <c r="CY13" s="15">
        <v>6</v>
      </c>
      <c r="CZ13" s="562">
        <v>773</v>
      </c>
      <c r="DA13" s="640">
        <v>45118</v>
      </c>
      <c r="DB13" s="562">
        <v>773</v>
      </c>
      <c r="DC13" s="693" t="s">
        <v>570</v>
      </c>
      <c r="DD13" s="564">
        <v>42</v>
      </c>
      <c r="DE13" s="363">
        <f t="shared" si="15"/>
        <v>32466</v>
      </c>
      <c r="DH13" s="103"/>
      <c r="DI13" s="15">
        <v>6</v>
      </c>
      <c r="DJ13" s="562">
        <v>911.7</v>
      </c>
      <c r="DK13" s="586">
        <v>45119</v>
      </c>
      <c r="DL13" s="562">
        <v>911.7</v>
      </c>
      <c r="DM13" s="587" t="s">
        <v>575</v>
      </c>
      <c r="DN13" s="588">
        <v>0</v>
      </c>
      <c r="DO13" s="368">
        <f t="shared" si="16"/>
        <v>0</v>
      </c>
      <c r="DR13" s="103"/>
      <c r="DS13" s="15">
        <v>6</v>
      </c>
      <c r="DT13" s="562">
        <v>940.7</v>
      </c>
      <c r="DU13" s="586">
        <v>45119</v>
      </c>
      <c r="DV13" s="562">
        <v>940.7</v>
      </c>
      <c r="DW13" s="587" t="s">
        <v>583</v>
      </c>
      <c r="DX13" s="588">
        <v>48</v>
      </c>
      <c r="DY13" s="363">
        <f t="shared" si="17"/>
        <v>45153.600000000006</v>
      </c>
      <c r="EB13" s="103"/>
      <c r="EC13" s="15">
        <v>6</v>
      </c>
      <c r="ED13" s="68">
        <v>865.4</v>
      </c>
      <c r="EE13" s="238">
        <v>45120</v>
      </c>
      <c r="EF13" s="68">
        <v>865.4</v>
      </c>
      <c r="EG13" s="69" t="s">
        <v>590</v>
      </c>
      <c r="EH13" s="70">
        <v>48</v>
      </c>
      <c r="EI13" s="363">
        <f t="shared" si="18"/>
        <v>41539.199999999997</v>
      </c>
      <c r="EL13" s="103"/>
      <c r="EM13" s="15">
        <v>6</v>
      </c>
      <c r="EN13" s="68">
        <v>901.7</v>
      </c>
      <c r="EO13" s="238">
        <v>45121</v>
      </c>
      <c r="EP13" s="68">
        <v>901.7</v>
      </c>
      <c r="EQ13" s="69" t="s">
        <v>593</v>
      </c>
      <c r="ER13" s="70">
        <v>49</v>
      </c>
      <c r="ES13" s="363">
        <f t="shared" si="19"/>
        <v>44183.3</v>
      </c>
      <c r="EV13" s="316"/>
      <c r="EW13" s="15">
        <v>6</v>
      </c>
      <c r="EX13" s="562">
        <v>940.7</v>
      </c>
      <c r="EY13" s="640">
        <v>45122</v>
      </c>
      <c r="EZ13" s="562">
        <v>940.7</v>
      </c>
      <c r="FA13" s="563" t="s">
        <v>612</v>
      </c>
      <c r="FB13" s="564">
        <v>51</v>
      </c>
      <c r="FC13" s="363">
        <f t="shared" si="20"/>
        <v>47975.700000000004</v>
      </c>
      <c r="FF13" s="316"/>
      <c r="FG13" s="15">
        <v>6</v>
      </c>
      <c r="FH13" s="562">
        <v>878.6</v>
      </c>
      <c r="FI13" s="640">
        <v>45125</v>
      </c>
      <c r="FJ13" s="562">
        <v>878.6</v>
      </c>
      <c r="FK13" s="563" t="s">
        <v>636</v>
      </c>
      <c r="FL13" s="564">
        <v>51</v>
      </c>
      <c r="FM13" s="230">
        <f t="shared" si="21"/>
        <v>44808.6</v>
      </c>
      <c r="FP13" s="103"/>
      <c r="FQ13" s="15">
        <v>6</v>
      </c>
      <c r="FR13" s="562">
        <v>914</v>
      </c>
      <c r="FS13" s="231">
        <v>45126</v>
      </c>
      <c r="FT13" s="562">
        <v>914</v>
      </c>
      <c r="FU13" s="69" t="s">
        <v>647</v>
      </c>
      <c r="FV13" s="70">
        <v>0</v>
      </c>
      <c r="FW13" s="363">
        <f t="shared" si="22"/>
        <v>0</v>
      </c>
      <c r="FZ13" s="103"/>
      <c r="GA13" s="15">
        <v>6</v>
      </c>
      <c r="GB13" s="336">
        <v>874.5</v>
      </c>
      <c r="GC13" s="231">
        <v>45126</v>
      </c>
      <c r="GD13" s="336">
        <v>874.5</v>
      </c>
      <c r="GE13" s="94" t="s">
        <v>646</v>
      </c>
      <c r="GF13" s="70">
        <v>51</v>
      </c>
      <c r="GG13" s="363">
        <f t="shared" si="23"/>
        <v>44599.5</v>
      </c>
      <c r="GJ13" s="103"/>
      <c r="GK13" s="15">
        <v>6</v>
      </c>
      <c r="GL13" s="91">
        <v>896.7</v>
      </c>
      <c r="GM13" s="231">
        <v>45127</v>
      </c>
      <c r="GN13" s="91">
        <v>896.7</v>
      </c>
      <c r="GO13" s="94" t="s">
        <v>652</v>
      </c>
      <c r="GP13" s="70">
        <v>51</v>
      </c>
      <c r="GQ13" s="363">
        <f t="shared" si="24"/>
        <v>45731.700000000004</v>
      </c>
      <c r="GT13" s="103"/>
      <c r="GU13" s="15">
        <v>6</v>
      </c>
      <c r="GV13" s="91">
        <v>895.4</v>
      </c>
      <c r="GW13" s="231">
        <v>45128</v>
      </c>
      <c r="GX13" s="91">
        <v>895.4</v>
      </c>
      <c r="GY13" s="94" t="s">
        <v>665</v>
      </c>
      <c r="GZ13" s="70">
        <v>51</v>
      </c>
      <c r="HA13" s="363">
        <f t="shared" si="25"/>
        <v>45665.4</v>
      </c>
      <c r="HD13" s="103"/>
      <c r="HE13" s="15">
        <v>6</v>
      </c>
      <c r="HF13" s="562">
        <v>909</v>
      </c>
      <c r="HG13" s="640">
        <v>45134</v>
      </c>
      <c r="HH13" s="562">
        <v>909</v>
      </c>
      <c r="HI13" s="693" t="s">
        <v>704</v>
      </c>
      <c r="HJ13" s="564">
        <v>0</v>
      </c>
      <c r="HK13" s="363">
        <f t="shared" si="26"/>
        <v>0</v>
      </c>
      <c r="HN13" s="103"/>
      <c r="HO13" s="624">
        <v>6</v>
      </c>
      <c r="HP13" s="562">
        <v>916.3</v>
      </c>
      <c r="HQ13" s="231">
        <v>45132</v>
      </c>
      <c r="HR13" s="562">
        <v>916.3</v>
      </c>
      <c r="HS13" s="278" t="s">
        <v>687</v>
      </c>
      <c r="HT13" s="70">
        <v>51</v>
      </c>
      <c r="HU13" s="363">
        <f t="shared" si="27"/>
        <v>46731.299999999996</v>
      </c>
      <c r="HX13" s="103"/>
      <c r="HY13" s="15">
        <v>6</v>
      </c>
      <c r="HZ13" s="565">
        <v>853.7</v>
      </c>
      <c r="IA13" s="646">
        <v>45133</v>
      </c>
      <c r="IB13" s="565">
        <v>853.7</v>
      </c>
      <c r="IC13" s="563" t="s">
        <v>700</v>
      </c>
      <c r="ID13" s="564">
        <v>51</v>
      </c>
      <c r="IE13" s="363">
        <f t="shared" si="6"/>
        <v>43538.700000000004</v>
      </c>
      <c r="IH13" s="103"/>
      <c r="II13" s="15">
        <v>6</v>
      </c>
      <c r="IJ13" s="68">
        <v>873.6</v>
      </c>
      <c r="IK13" s="238">
        <v>45134</v>
      </c>
      <c r="IL13" s="68">
        <v>873.6</v>
      </c>
      <c r="IM13" s="69" t="s">
        <v>711</v>
      </c>
      <c r="IN13" s="70">
        <v>51</v>
      </c>
      <c r="IO13" s="230">
        <f t="shared" si="28"/>
        <v>44553.599999999999</v>
      </c>
      <c r="IR13" s="103"/>
      <c r="IS13" s="15">
        <v>6</v>
      </c>
      <c r="IT13" s="68">
        <v>928.5</v>
      </c>
      <c r="IU13" s="238">
        <v>45135</v>
      </c>
      <c r="IV13" s="68">
        <v>928.5</v>
      </c>
      <c r="IW13" s="69" t="s">
        <v>720</v>
      </c>
      <c r="IX13" s="70">
        <v>51</v>
      </c>
      <c r="IY13" s="230">
        <f t="shared" si="29"/>
        <v>47353.5</v>
      </c>
      <c r="IZ13" s="91"/>
      <c r="JA13" s="68"/>
      <c r="JB13" s="103"/>
      <c r="JC13" s="15">
        <v>6</v>
      </c>
      <c r="JD13" s="91">
        <v>947.1</v>
      </c>
      <c r="JE13" s="238">
        <v>45136</v>
      </c>
      <c r="JF13" s="91">
        <v>947.1</v>
      </c>
      <c r="JG13" s="69" t="s">
        <v>729</v>
      </c>
      <c r="JH13" s="70">
        <v>51</v>
      </c>
      <c r="JI13" s="363">
        <f t="shared" si="30"/>
        <v>48302.1</v>
      </c>
      <c r="JJ13" s="68"/>
      <c r="JL13" s="103"/>
      <c r="JM13" s="15">
        <v>6</v>
      </c>
      <c r="JN13" s="91"/>
      <c r="JO13" s="231"/>
      <c r="JP13" s="91"/>
      <c r="JQ13" s="69"/>
      <c r="JR13" s="70"/>
      <c r="JS13" s="363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3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3">
        <f t="shared" si="33"/>
        <v>0</v>
      </c>
      <c r="KP13" s="103"/>
      <c r="KQ13" s="15">
        <v>6</v>
      </c>
      <c r="KR13" s="68"/>
      <c r="KS13" s="238"/>
      <c r="KT13" s="68"/>
      <c r="KU13" s="563"/>
      <c r="KV13" s="564"/>
      <c r="KW13" s="363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3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3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3">
        <f t="shared" si="37"/>
        <v>0</v>
      </c>
      <c r="MB13" s="363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100425314</v>
      </c>
      <c r="E14" s="131">
        <f t="shared" si="62"/>
        <v>45118</v>
      </c>
      <c r="F14" s="85">
        <f t="shared" si="62"/>
        <v>17358.96</v>
      </c>
      <c r="G14" s="72">
        <f t="shared" si="62"/>
        <v>19</v>
      </c>
      <c r="H14" s="48">
        <f t="shared" si="62"/>
        <v>17292.400000000001</v>
      </c>
      <c r="I14" s="102">
        <f t="shared" si="62"/>
        <v>66.559999999997672</v>
      </c>
      <c r="L14" s="103"/>
      <c r="M14" s="15">
        <v>7</v>
      </c>
      <c r="N14" s="68">
        <v>932.58</v>
      </c>
      <c r="O14" s="1481">
        <v>45110</v>
      </c>
      <c r="P14" s="1482">
        <v>932.58</v>
      </c>
      <c r="Q14" s="1483" t="s">
        <v>496</v>
      </c>
      <c r="R14" s="1484">
        <v>45</v>
      </c>
      <c r="S14" s="1485">
        <f t="shared" si="8"/>
        <v>41966.1</v>
      </c>
      <c r="V14" s="103"/>
      <c r="W14" s="15">
        <v>7</v>
      </c>
      <c r="X14" s="565">
        <v>568.5</v>
      </c>
      <c r="Y14" s="646">
        <v>45111</v>
      </c>
      <c r="Z14" s="565">
        <v>568.5</v>
      </c>
      <c r="AA14" s="563" t="s">
        <v>504</v>
      </c>
      <c r="AB14" s="564">
        <v>42</v>
      </c>
      <c r="AC14" s="363">
        <f t="shared" si="9"/>
        <v>23877</v>
      </c>
      <c r="AF14" s="103"/>
      <c r="AG14" s="15">
        <v>7</v>
      </c>
      <c r="AH14" s="562">
        <v>885.9</v>
      </c>
      <c r="AI14" s="640">
        <v>45111</v>
      </c>
      <c r="AJ14" s="562">
        <v>885.9</v>
      </c>
      <c r="AK14" s="693" t="s">
        <v>503</v>
      </c>
      <c r="AL14" s="564">
        <v>45</v>
      </c>
      <c r="AM14" s="363">
        <f t="shared" si="10"/>
        <v>39865.5</v>
      </c>
      <c r="AP14" s="103"/>
      <c r="AQ14" s="15">
        <v>7</v>
      </c>
      <c r="AR14" s="562">
        <v>939.4</v>
      </c>
      <c r="AS14" s="640">
        <v>45112</v>
      </c>
      <c r="AT14" s="562">
        <v>939.4</v>
      </c>
      <c r="AU14" s="693" t="s">
        <v>516</v>
      </c>
      <c r="AV14" s="564">
        <v>45</v>
      </c>
      <c r="AW14" s="363">
        <f t="shared" si="11"/>
        <v>42273</v>
      </c>
      <c r="AZ14" s="103"/>
      <c r="BA14" s="15">
        <v>7</v>
      </c>
      <c r="BB14" s="91">
        <v>920.8</v>
      </c>
      <c r="BC14" s="231">
        <v>45114</v>
      </c>
      <c r="BD14" s="91">
        <v>920.8</v>
      </c>
      <c r="BE14" s="94" t="s">
        <v>528</v>
      </c>
      <c r="BF14" s="70">
        <v>46</v>
      </c>
      <c r="BG14" s="363">
        <f t="shared" si="12"/>
        <v>42356.799999999996</v>
      </c>
      <c r="BJ14" s="103"/>
      <c r="BK14" s="15">
        <v>7</v>
      </c>
      <c r="BL14" s="91">
        <v>927.1</v>
      </c>
      <c r="BM14" s="231">
        <v>45114</v>
      </c>
      <c r="BN14" s="91">
        <v>927.1</v>
      </c>
      <c r="BO14" s="94" t="s">
        <v>538</v>
      </c>
      <c r="BP14" s="70">
        <v>46</v>
      </c>
      <c r="BQ14" s="440">
        <f t="shared" si="13"/>
        <v>42646.6</v>
      </c>
      <c r="BR14" s="363"/>
      <c r="BT14" s="103"/>
      <c r="BU14" s="15">
        <v>7</v>
      </c>
      <c r="BV14" s="68">
        <v>920.8</v>
      </c>
      <c r="BW14" s="586">
        <v>45113</v>
      </c>
      <c r="BX14" s="565">
        <v>920.8</v>
      </c>
      <c r="BY14" s="734" t="s">
        <v>523</v>
      </c>
      <c r="BZ14" s="588">
        <v>45</v>
      </c>
      <c r="CA14" s="230">
        <f t="shared" si="5"/>
        <v>41436</v>
      </c>
      <c r="CD14" s="202"/>
      <c r="CE14" s="15">
        <v>7</v>
      </c>
      <c r="CF14" s="91">
        <v>908.1</v>
      </c>
      <c r="CG14" s="275">
        <v>45115</v>
      </c>
      <c r="CH14" s="91">
        <v>908.1</v>
      </c>
      <c r="CI14" s="277" t="s">
        <v>543</v>
      </c>
      <c r="CJ14" s="276">
        <v>46</v>
      </c>
      <c r="CK14" s="363">
        <f t="shared" si="14"/>
        <v>41772.6</v>
      </c>
      <c r="CN14" s="93"/>
      <c r="CO14" s="15">
        <v>7</v>
      </c>
      <c r="CP14" s="562">
        <v>924</v>
      </c>
      <c r="CQ14" s="586">
        <v>45118</v>
      </c>
      <c r="CR14" s="562">
        <v>924</v>
      </c>
      <c r="CS14" s="587" t="s">
        <v>565</v>
      </c>
      <c r="CT14" s="276">
        <v>47</v>
      </c>
      <c r="CU14" s="368">
        <f t="shared" si="58"/>
        <v>43428</v>
      </c>
      <c r="CX14" s="103"/>
      <c r="CY14" s="15">
        <v>7</v>
      </c>
      <c r="CZ14" s="562">
        <v>816</v>
      </c>
      <c r="DA14" s="640">
        <v>45118</v>
      </c>
      <c r="DB14" s="562">
        <v>816</v>
      </c>
      <c r="DC14" s="693" t="s">
        <v>570</v>
      </c>
      <c r="DD14" s="564">
        <v>42</v>
      </c>
      <c r="DE14" s="363">
        <f t="shared" si="15"/>
        <v>34272</v>
      </c>
      <c r="DH14" s="103"/>
      <c r="DI14" s="15">
        <v>7</v>
      </c>
      <c r="DJ14" s="562">
        <v>910.8</v>
      </c>
      <c r="DK14" s="586">
        <v>45119</v>
      </c>
      <c r="DL14" s="562">
        <v>910.8</v>
      </c>
      <c r="DM14" s="587" t="s">
        <v>575</v>
      </c>
      <c r="DN14" s="588">
        <v>0</v>
      </c>
      <c r="DO14" s="368">
        <f t="shared" si="16"/>
        <v>0</v>
      </c>
      <c r="DR14" s="103"/>
      <c r="DS14" s="15">
        <v>7</v>
      </c>
      <c r="DT14" s="562">
        <v>893.6</v>
      </c>
      <c r="DU14" s="586">
        <v>45119</v>
      </c>
      <c r="DV14" s="562">
        <v>893.6</v>
      </c>
      <c r="DW14" s="587" t="s">
        <v>583</v>
      </c>
      <c r="DX14" s="588">
        <v>48</v>
      </c>
      <c r="DY14" s="363">
        <f t="shared" si="17"/>
        <v>42892.800000000003</v>
      </c>
      <c r="EB14" s="103"/>
      <c r="EC14" s="15">
        <v>7</v>
      </c>
      <c r="ED14" s="68">
        <v>922.6</v>
      </c>
      <c r="EE14" s="238">
        <v>45120</v>
      </c>
      <c r="EF14" s="68">
        <v>922.6</v>
      </c>
      <c r="EG14" s="69" t="s">
        <v>590</v>
      </c>
      <c r="EH14" s="70">
        <v>48</v>
      </c>
      <c r="EI14" s="363">
        <f t="shared" si="18"/>
        <v>44284.800000000003</v>
      </c>
      <c r="EL14" s="103"/>
      <c r="EM14" s="15">
        <v>7</v>
      </c>
      <c r="EN14" s="68">
        <v>925.3</v>
      </c>
      <c r="EO14" s="238">
        <v>45121</v>
      </c>
      <c r="EP14" s="68">
        <v>925.3</v>
      </c>
      <c r="EQ14" s="69" t="s">
        <v>593</v>
      </c>
      <c r="ER14" s="70">
        <v>49</v>
      </c>
      <c r="ES14" s="363">
        <f t="shared" si="19"/>
        <v>45339.7</v>
      </c>
      <c r="EV14" s="316"/>
      <c r="EW14" s="15">
        <v>7</v>
      </c>
      <c r="EX14" s="562">
        <v>890.9</v>
      </c>
      <c r="EY14" s="640">
        <v>45122</v>
      </c>
      <c r="EZ14" s="562">
        <v>890.9</v>
      </c>
      <c r="FA14" s="563" t="s">
        <v>612</v>
      </c>
      <c r="FB14" s="564">
        <v>51</v>
      </c>
      <c r="FC14" s="363">
        <f t="shared" si="20"/>
        <v>45435.9</v>
      </c>
      <c r="FF14" s="316"/>
      <c r="FG14" s="15">
        <v>7</v>
      </c>
      <c r="FH14" s="562">
        <v>906.7</v>
      </c>
      <c r="FI14" s="640">
        <v>45125</v>
      </c>
      <c r="FJ14" s="562">
        <v>906.7</v>
      </c>
      <c r="FK14" s="563" t="s">
        <v>636</v>
      </c>
      <c r="FL14" s="564">
        <v>51</v>
      </c>
      <c r="FM14" s="230">
        <f t="shared" si="21"/>
        <v>46241.700000000004</v>
      </c>
      <c r="FP14" s="103"/>
      <c r="FQ14" s="15">
        <v>7</v>
      </c>
      <c r="FR14" s="562">
        <v>909.9</v>
      </c>
      <c r="FS14" s="231">
        <v>45127</v>
      </c>
      <c r="FT14" s="562">
        <v>909.9</v>
      </c>
      <c r="FU14" s="69" t="s">
        <v>650</v>
      </c>
      <c r="FV14" s="70">
        <v>0</v>
      </c>
      <c r="FW14" s="363">
        <f t="shared" si="22"/>
        <v>0</v>
      </c>
      <c r="FZ14" s="103"/>
      <c r="GA14" s="15">
        <v>7</v>
      </c>
      <c r="GB14" s="336">
        <v>940.7</v>
      </c>
      <c r="GC14" s="231">
        <v>45126</v>
      </c>
      <c r="GD14" s="336">
        <v>940.7</v>
      </c>
      <c r="GE14" s="94" t="s">
        <v>646</v>
      </c>
      <c r="GF14" s="70">
        <v>51</v>
      </c>
      <c r="GG14" s="363">
        <f t="shared" si="23"/>
        <v>47975.700000000004</v>
      </c>
      <c r="GJ14" s="103"/>
      <c r="GK14" s="15">
        <v>7</v>
      </c>
      <c r="GL14" s="91">
        <v>894</v>
      </c>
      <c r="GM14" s="231">
        <v>45127</v>
      </c>
      <c r="GN14" s="91">
        <v>894</v>
      </c>
      <c r="GO14" s="94" t="s">
        <v>652</v>
      </c>
      <c r="GP14" s="70">
        <v>51</v>
      </c>
      <c r="GQ14" s="363">
        <f t="shared" si="24"/>
        <v>45594</v>
      </c>
      <c r="GT14" s="103"/>
      <c r="GU14" s="15">
        <v>7</v>
      </c>
      <c r="GV14" s="91">
        <v>879.1</v>
      </c>
      <c r="GW14" s="231">
        <v>45128</v>
      </c>
      <c r="GX14" s="91">
        <v>879.1</v>
      </c>
      <c r="GY14" s="94" t="s">
        <v>665</v>
      </c>
      <c r="GZ14" s="70">
        <v>51</v>
      </c>
      <c r="HA14" s="363">
        <f t="shared" si="25"/>
        <v>44834.1</v>
      </c>
      <c r="HD14" s="103"/>
      <c r="HE14" s="15">
        <v>7</v>
      </c>
      <c r="HF14" s="562">
        <v>864.5</v>
      </c>
      <c r="HG14" s="640">
        <v>45133</v>
      </c>
      <c r="HH14" s="562">
        <v>864.5</v>
      </c>
      <c r="HI14" s="693" t="s">
        <v>696</v>
      </c>
      <c r="HJ14" s="564">
        <v>0</v>
      </c>
      <c r="HK14" s="363">
        <f t="shared" si="26"/>
        <v>0</v>
      </c>
      <c r="HN14" s="103"/>
      <c r="HO14" s="624">
        <v>7</v>
      </c>
      <c r="HP14" s="562">
        <v>911.7</v>
      </c>
      <c r="HQ14" s="231">
        <v>45132</v>
      </c>
      <c r="HR14" s="562">
        <v>911.7</v>
      </c>
      <c r="HS14" s="278" t="s">
        <v>687</v>
      </c>
      <c r="HT14" s="70">
        <v>51</v>
      </c>
      <c r="HU14" s="363">
        <f t="shared" si="27"/>
        <v>46496.700000000004</v>
      </c>
      <c r="HX14" s="103"/>
      <c r="HY14" s="15">
        <v>7</v>
      </c>
      <c r="HZ14" s="565">
        <v>919.9</v>
      </c>
      <c r="IA14" s="646">
        <v>45133</v>
      </c>
      <c r="IB14" s="565">
        <v>919.9</v>
      </c>
      <c r="IC14" s="563" t="s">
        <v>700</v>
      </c>
      <c r="ID14" s="564">
        <v>51</v>
      </c>
      <c r="IE14" s="363">
        <f t="shared" si="6"/>
        <v>46914.9</v>
      </c>
      <c r="IH14" s="103"/>
      <c r="II14" s="15">
        <v>7</v>
      </c>
      <c r="IJ14" s="68">
        <v>892.7</v>
      </c>
      <c r="IK14" s="238">
        <v>45134</v>
      </c>
      <c r="IL14" s="68">
        <v>892.7</v>
      </c>
      <c r="IM14" s="69" t="s">
        <v>711</v>
      </c>
      <c r="IN14" s="70">
        <v>51</v>
      </c>
      <c r="IO14" s="230">
        <f t="shared" si="28"/>
        <v>45527.700000000004</v>
      </c>
      <c r="IR14" s="103"/>
      <c r="IS14" s="15">
        <v>7</v>
      </c>
      <c r="IT14" s="68">
        <v>922.1</v>
      </c>
      <c r="IU14" s="238">
        <v>45135</v>
      </c>
      <c r="IV14" s="68">
        <v>922.1</v>
      </c>
      <c r="IW14" s="69" t="s">
        <v>720</v>
      </c>
      <c r="IX14" s="70">
        <v>51</v>
      </c>
      <c r="IY14" s="230">
        <f t="shared" si="29"/>
        <v>47027.1</v>
      </c>
      <c r="IZ14" s="91"/>
      <c r="JA14" s="68"/>
      <c r="JB14" s="103"/>
      <c r="JC14" s="15">
        <v>7</v>
      </c>
      <c r="JD14" s="91">
        <v>961.61</v>
      </c>
      <c r="JE14" s="238">
        <v>45136</v>
      </c>
      <c r="JF14" s="91">
        <v>961.61</v>
      </c>
      <c r="JG14" s="69" t="s">
        <v>730</v>
      </c>
      <c r="JH14" s="70">
        <v>51</v>
      </c>
      <c r="JI14" s="363">
        <f t="shared" si="30"/>
        <v>49042.11</v>
      </c>
      <c r="JJ14" s="68"/>
      <c r="JL14" s="103"/>
      <c r="JM14" s="15">
        <v>7</v>
      </c>
      <c r="JN14" s="91"/>
      <c r="JO14" s="231"/>
      <c r="JP14" s="91"/>
      <c r="JQ14" s="69"/>
      <c r="JR14" s="70"/>
      <c r="JS14" s="363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3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3">
        <f t="shared" si="33"/>
        <v>0</v>
      </c>
      <c r="KP14" s="103"/>
      <c r="KQ14" s="15">
        <v>7</v>
      </c>
      <c r="KR14" s="68"/>
      <c r="KS14" s="238"/>
      <c r="KT14" s="68"/>
      <c r="KU14" s="563"/>
      <c r="KV14" s="564"/>
      <c r="KW14" s="363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3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3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3">
        <f t="shared" si="37"/>
        <v>0</v>
      </c>
      <c r="MB14" s="363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100476612</v>
      </c>
      <c r="E15" s="131">
        <f t="shared" si="63"/>
        <v>45119</v>
      </c>
      <c r="F15" s="85">
        <f t="shared" si="63"/>
        <v>17348.32</v>
      </c>
      <c r="G15" s="72">
        <f t="shared" si="63"/>
        <v>19</v>
      </c>
      <c r="H15" s="48">
        <f t="shared" si="63"/>
        <v>17288</v>
      </c>
      <c r="I15" s="102">
        <f t="shared" si="63"/>
        <v>60.319999999999709</v>
      </c>
      <c r="L15" s="103"/>
      <c r="M15" s="15">
        <v>8</v>
      </c>
      <c r="N15" s="68">
        <v>938.93</v>
      </c>
      <c r="O15" s="1481">
        <v>45110</v>
      </c>
      <c r="P15" s="1482">
        <v>938.93</v>
      </c>
      <c r="Q15" s="1483" t="s">
        <v>496</v>
      </c>
      <c r="R15" s="1484">
        <v>45</v>
      </c>
      <c r="S15" s="1485">
        <f t="shared" si="8"/>
        <v>42251.85</v>
      </c>
      <c r="V15" s="103"/>
      <c r="W15" s="15">
        <v>8</v>
      </c>
      <c r="X15" s="565">
        <v>892</v>
      </c>
      <c r="Y15" s="646">
        <v>45111</v>
      </c>
      <c r="Z15" s="565">
        <v>892</v>
      </c>
      <c r="AA15" s="563" t="s">
        <v>504</v>
      </c>
      <c r="AB15" s="564">
        <v>42</v>
      </c>
      <c r="AC15" s="363">
        <f t="shared" si="9"/>
        <v>37464</v>
      </c>
      <c r="AF15" s="103"/>
      <c r="AG15" s="15">
        <v>8</v>
      </c>
      <c r="AH15" s="562">
        <v>906.7</v>
      </c>
      <c r="AI15" s="640">
        <v>45111</v>
      </c>
      <c r="AJ15" s="562">
        <v>906.7</v>
      </c>
      <c r="AK15" s="693" t="s">
        <v>503</v>
      </c>
      <c r="AL15" s="564">
        <v>45</v>
      </c>
      <c r="AM15" s="363">
        <f t="shared" si="10"/>
        <v>40801.5</v>
      </c>
      <c r="AP15" s="103"/>
      <c r="AQ15" s="15">
        <v>8</v>
      </c>
      <c r="AR15" s="562">
        <v>926.7</v>
      </c>
      <c r="AS15" s="640">
        <v>45111</v>
      </c>
      <c r="AT15" s="562">
        <v>926.7</v>
      </c>
      <c r="AU15" s="693" t="s">
        <v>511</v>
      </c>
      <c r="AV15" s="564">
        <v>45</v>
      </c>
      <c r="AW15" s="363">
        <f t="shared" si="11"/>
        <v>41701.5</v>
      </c>
      <c r="AZ15" s="103"/>
      <c r="BA15" s="15">
        <v>8</v>
      </c>
      <c r="BB15" s="91">
        <v>922.6</v>
      </c>
      <c r="BC15" s="231">
        <v>45114</v>
      </c>
      <c r="BD15" s="91">
        <v>922.6</v>
      </c>
      <c r="BE15" s="94" t="s">
        <v>532</v>
      </c>
      <c r="BF15" s="70">
        <v>46</v>
      </c>
      <c r="BG15" s="363">
        <f t="shared" si="12"/>
        <v>42439.6</v>
      </c>
      <c r="BJ15" s="103"/>
      <c r="BK15" s="15">
        <v>8</v>
      </c>
      <c r="BL15" s="91">
        <v>929</v>
      </c>
      <c r="BM15" s="231">
        <v>45115</v>
      </c>
      <c r="BN15" s="91">
        <v>929</v>
      </c>
      <c r="BO15" s="94" t="s">
        <v>542</v>
      </c>
      <c r="BP15" s="70">
        <v>46</v>
      </c>
      <c r="BQ15" s="440">
        <f t="shared" si="13"/>
        <v>42734</v>
      </c>
      <c r="BR15" s="363"/>
      <c r="BT15" s="103"/>
      <c r="BU15" s="15">
        <v>8</v>
      </c>
      <c r="BV15" s="91">
        <v>891.8</v>
      </c>
      <c r="BW15" s="586">
        <v>45113</v>
      </c>
      <c r="BX15" s="562">
        <v>891.8</v>
      </c>
      <c r="BY15" s="734" t="s">
        <v>523</v>
      </c>
      <c r="BZ15" s="588">
        <v>45</v>
      </c>
      <c r="CA15" s="230">
        <f t="shared" si="5"/>
        <v>40131</v>
      </c>
      <c r="CD15" s="202"/>
      <c r="CE15" s="15">
        <v>8</v>
      </c>
      <c r="CF15" s="91">
        <v>897.2</v>
      </c>
      <c r="CG15" s="275">
        <v>45115</v>
      </c>
      <c r="CH15" s="91">
        <v>897.2</v>
      </c>
      <c r="CI15" s="277" t="s">
        <v>543</v>
      </c>
      <c r="CJ15" s="276">
        <v>46</v>
      </c>
      <c r="CK15" s="363">
        <f t="shared" si="14"/>
        <v>41271.200000000004</v>
      </c>
      <c r="CN15" s="93"/>
      <c r="CO15" s="15">
        <v>8</v>
      </c>
      <c r="CP15" s="562">
        <v>883.1</v>
      </c>
      <c r="CQ15" s="586">
        <v>45118</v>
      </c>
      <c r="CR15" s="562">
        <v>883.1</v>
      </c>
      <c r="CS15" s="587" t="s">
        <v>565</v>
      </c>
      <c r="CT15" s="276">
        <v>47</v>
      </c>
      <c r="CU15" s="368">
        <f t="shared" si="58"/>
        <v>41505.700000000004</v>
      </c>
      <c r="CX15" s="103"/>
      <c r="CY15" s="15">
        <v>8</v>
      </c>
      <c r="CZ15" s="562">
        <v>730</v>
      </c>
      <c r="DA15" s="640">
        <v>45118</v>
      </c>
      <c r="DB15" s="562">
        <v>730</v>
      </c>
      <c r="DC15" s="693" t="s">
        <v>570</v>
      </c>
      <c r="DD15" s="564">
        <v>42</v>
      </c>
      <c r="DE15" s="363">
        <f t="shared" si="15"/>
        <v>30660</v>
      </c>
      <c r="DH15" s="103"/>
      <c r="DI15" s="15">
        <v>8</v>
      </c>
      <c r="DJ15" s="562">
        <v>875.4</v>
      </c>
      <c r="DK15" s="586">
        <v>45119</v>
      </c>
      <c r="DL15" s="562">
        <v>875.4</v>
      </c>
      <c r="DM15" s="587" t="s">
        <v>575</v>
      </c>
      <c r="DN15" s="588">
        <v>0</v>
      </c>
      <c r="DO15" s="368">
        <f t="shared" si="16"/>
        <v>0</v>
      </c>
      <c r="DR15" s="103"/>
      <c r="DS15" s="15">
        <v>8</v>
      </c>
      <c r="DT15" s="562">
        <v>920.8</v>
      </c>
      <c r="DU15" s="586">
        <v>45119</v>
      </c>
      <c r="DV15" s="562">
        <v>920.8</v>
      </c>
      <c r="DW15" s="587" t="s">
        <v>583</v>
      </c>
      <c r="DX15" s="588">
        <v>48</v>
      </c>
      <c r="DY15" s="363">
        <f t="shared" si="17"/>
        <v>44198.399999999994</v>
      </c>
      <c r="EB15" s="103"/>
      <c r="EC15" s="15">
        <v>8</v>
      </c>
      <c r="ED15" s="68">
        <v>910.8</v>
      </c>
      <c r="EE15" s="238">
        <v>45120</v>
      </c>
      <c r="EF15" s="68">
        <v>910.8</v>
      </c>
      <c r="EG15" s="69" t="s">
        <v>590</v>
      </c>
      <c r="EH15" s="70">
        <v>48</v>
      </c>
      <c r="EI15" s="363">
        <f t="shared" si="18"/>
        <v>43718.399999999994</v>
      </c>
      <c r="EL15" s="103"/>
      <c r="EM15" s="15">
        <v>8</v>
      </c>
      <c r="EN15" s="68">
        <v>936.2</v>
      </c>
      <c r="EO15" s="238">
        <v>45121</v>
      </c>
      <c r="EP15" s="68">
        <v>936.2</v>
      </c>
      <c r="EQ15" s="69" t="s">
        <v>593</v>
      </c>
      <c r="ER15" s="70">
        <v>49</v>
      </c>
      <c r="ES15" s="363">
        <f t="shared" si="19"/>
        <v>45873.8</v>
      </c>
      <c r="EV15" s="316"/>
      <c r="EW15" s="15">
        <v>8</v>
      </c>
      <c r="EX15" s="562">
        <v>940.7</v>
      </c>
      <c r="EY15" s="640">
        <v>45122</v>
      </c>
      <c r="EZ15" s="562">
        <v>940.7</v>
      </c>
      <c r="FA15" s="563" t="s">
        <v>612</v>
      </c>
      <c r="FB15" s="564">
        <v>51</v>
      </c>
      <c r="FC15" s="363">
        <f t="shared" si="20"/>
        <v>47975.700000000004</v>
      </c>
      <c r="FF15" s="316"/>
      <c r="FG15" s="15">
        <v>8</v>
      </c>
      <c r="FH15" s="562">
        <v>875.9</v>
      </c>
      <c r="FI15" s="640">
        <v>45125</v>
      </c>
      <c r="FJ15" s="562">
        <v>875.9</v>
      </c>
      <c r="FK15" s="563" t="s">
        <v>636</v>
      </c>
      <c r="FL15" s="564">
        <v>51</v>
      </c>
      <c r="FM15" s="230">
        <f t="shared" si="21"/>
        <v>44670.9</v>
      </c>
      <c r="FP15" s="103"/>
      <c r="FQ15" s="15">
        <v>8</v>
      </c>
      <c r="FR15" s="562">
        <v>902.6</v>
      </c>
      <c r="FS15" s="231">
        <v>45127</v>
      </c>
      <c r="FT15" s="562">
        <v>902.6</v>
      </c>
      <c r="FU15" s="69" t="s">
        <v>650</v>
      </c>
      <c r="FV15" s="70">
        <v>0</v>
      </c>
      <c r="FW15" s="363">
        <f t="shared" si="22"/>
        <v>0</v>
      </c>
      <c r="FZ15" s="103"/>
      <c r="GA15" s="15">
        <v>8</v>
      </c>
      <c r="GB15" s="336">
        <v>906.7</v>
      </c>
      <c r="GC15" s="231">
        <v>45126</v>
      </c>
      <c r="GD15" s="336">
        <v>906.7</v>
      </c>
      <c r="GE15" s="94" t="s">
        <v>646</v>
      </c>
      <c r="GF15" s="70">
        <v>51</v>
      </c>
      <c r="GG15" s="363">
        <f t="shared" si="23"/>
        <v>46241.700000000004</v>
      </c>
      <c r="GJ15" s="103"/>
      <c r="GK15" s="15">
        <v>8</v>
      </c>
      <c r="GL15" s="91">
        <v>936.2</v>
      </c>
      <c r="GM15" s="231">
        <v>45127</v>
      </c>
      <c r="GN15" s="91">
        <v>936.2</v>
      </c>
      <c r="GO15" s="94" t="s">
        <v>652</v>
      </c>
      <c r="GP15" s="70">
        <v>51</v>
      </c>
      <c r="GQ15" s="363">
        <f t="shared" si="24"/>
        <v>47746.200000000004</v>
      </c>
      <c r="GT15" s="103"/>
      <c r="GU15" s="15">
        <v>8</v>
      </c>
      <c r="GV15" s="91">
        <v>899.9</v>
      </c>
      <c r="GW15" s="231">
        <v>45128</v>
      </c>
      <c r="GX15" s="91">
        <v>899.9</v>
      </c>
      <c r="GY15" s="94" t="s">
        <v>665</v>
      </c>
      <c r="GZ15" s="70">
        <v>51</v>
      </c>
      <c r="HA15" s="363">
        <f t="shared" si="25"/>
        <v>45894.9</v>
      </c>
      <c r="HD15" s="103"/>
      <c r="HE15" s="15">
        <v>8</v>
      </c>
      <c r="HF15" s="562">
        <v>905.4</v>
      </c>
      <c r="HG15" s="640"/>
      <c r="HH15" s="562"/>
      <c r="HI15" s="693"/>
      <c r="HJ15" s="564"/>
      <c r="HK15" s="363">
        <f t="shared" si="26"/>
        <v>0</v>
      </c>
      <c r="HN15" s="103"/>
      <c r="HO15" s="624">
        <v>8</v>
      </c>
      <c r="HP15" s="562">
        <v>889</v>
      </c>
      <c r="HQ15" s="231">
        <v>45132</v>
      </c>
      <c r="HR15" s="562">
        <v>889</v>
      </c>
      <c r="HS15" s="278" t="s">
        <v>687</v>
      </c>
      <c r="HT15" s="70">
        <v>51</v>
      </c>
      <c r="HU15" s="363">
        <f t="shared" si="27"/>
        <v>45339</v>
      </c>
      <c r="HX15" s="93"/>
      <c r="HY15" s="15">
        <v>8</v>
      </c>
      <c r="HZ15" s="565">
        <v>810.1</v>
      </c>
      <c r="IA15" s="646">
        <v>45133</v>
      </c>
      <c r="IB15" s="565">
        <v>810.1</v>
      </c>
      <c r="IC15" s="563" t="s">
        <v>700</v>
      </c>
      <c r="ID15" s="564">
        <v>51</v>
      </c>
      <c r="IE15" s="363">
        <f t="shared" si="6"/>
        <v>41315.1</v>
      </c>
      <c r="IH15" s="103"/>
      <c r="II15" s="15">
        <v>8</v>
      </c>
      <c r="IJ15" s="68">
        <v>929.9</v>
      </c>
      <c r="IK15" s="238">
        <v>45134</v>
      </c>
      <c r="IL15" s="68">
        <v>929.9</v>
      </c>
      <c r="IM15" s="69" t="s">
        <v>711</v>
      </c>
      <c r="IN15" s="70">
        <v>51</v>
      </c>
      <c r="IO15" s="230">
        <f t="shared" si="28"/>
        <v>47424.9</v>
      </c>
      <c r="IR15" s="103"/>
      <c r="IS15" s="15">
        <v>8</v>
      </c>
      <c r="IT15" s="68">
        <v>901.3</v>
      </c>
      <c r="IU15" s="238">
        <v>45135</v>
      </c>
      <c r="IV15" s="68">
        <v>901.3</v>
      </c>
      <c r="IW15" s="69" t="s">
        <v>720</v>
      </c>
      <c r="IX15" s="70">
        <v>51</v>
      </c>
      <c r="IY15" s="230">
        <f t="shared" si="29"/>
        <v>45966.299999999996</v>
      </c>
      <c r="IZ15" s="91"/>
      <c r="JA15" s="68"/>
      <c r="JB15" s="103"/>
      <c r="JC15" s="15">
        <v>8</v>
      </c>
      <c r="JD15" s="91">
        <v>928.95</v>
      </c>
      <c r="JE15" s="238">
        <v>45136</v>
      </c>
      <c r="JF15" s="91">
        <v>928.95</v>
      </c>
      <c r="JG15" s="69" t="s">
        <v>728</v>
      </c>
      <c r="JH15" s="70">
        <v>51</v>
      </c>
      <c r="JI15" s="363">
        <f t="shared" si="30"/>
        <v>47376.450000000004</v>
      </c>
      <c r="JJ15" s="68"/>
      <c r="JL15" s="103"/>
      <c r="JM15" s="15">
        <v>8</v>
      </c>
      <c r="JN15" s="91"/>
      <c r="JO15" s="231"/>
      <c r="JP15" s="91"/>
      <c r="JQ15" s="69"/>
      <c r="JR15" s="70"/>
      <c r="JS15" s="363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3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3">
        <f t="shared" si="33"/>
        <v>0</v>
      </c>
      <c r="KP15" s="103"/>
      <c r="KQ15" s="15">
        <v>8</v>
      </c>
      <c r="KR15" s="68"/>
      <c r="KS15" s="238"/>
      <c r="KT15" s="68"/>
      <c r="KU15" s="563"/>
      <c r="KV15" s="564"/>
      <c r="KW15" s="363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3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3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3">
        <f t="shared" si="37"/>
        <v>0</v>
      </c>
      <c r="MB15" s="363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100536486</v>
      </c>
      <c r="E16" s="131">
        <f t="shared" si="64"/>
        <v>45120</v>
      </c>
      <c r="F16" s="85">
        <f t="shared" si="64"/>
        <v>18755.29</v>
      </c>
      <c r="G16" s="72">
        <f t="shared" si="64"/>
        <v>21</v>
      </c>
      <c r="H16" s="48">
        <f t="shared" si="64"/>
        <v>18941.8</v>
      </c>
      <c r="I16" s="102">
        <f t="shared" si="64"/>
        <v>-186.5099999999984</v>
      </c>
      <c r="L16" s="103"/>
      <c r="M16" s="15">
        <v>9</v>
      </c>
      <c r="N16" s="68">
        <v>926.23</v>
      </c>
      <c r="O16" s="238">
        <v>45108</v>
      </c>
      <c r="P16" s="68">
        <v>926.23</v>
      </c>
      <c r="Q16" s="69" t="s">
        <v>304</v>
      </c>
      <c r="R16" s="70">
        <v>45</v>
      </c>
      <c r="S16" s="363">
        <f t="shared" si="8"/>
        <v>41680.35</v>
      </c>
      <c r="V16" s="103"/>
      <c r="W16" s="15">
        <v>9</v>
      </c>
      <c r="X16" s="565">
        <v>816.5</v>
      </c>
      <c r="Y16" s="646">
        <v>45111</v>
      </c>
      <c r="Z16" s="565">
        <v>816.5</v>
      </c>
      <c r="AA16" s="563" t="s">
        <v>504</v>
      </c>
      <c r="AB16" s="564">
        <v>42</v>
      </c>
      <c r="AC16" s="363">
        <f t="shared" si="9"/>
        <v>34293</v>
      </c>
      <c r="AF16" s="103"/>
      <c r="AG16" s="15">
        <v>9</v>
      </c>
      <c r="AH16" s="562">
        <v>901.7</v>
      </c>
      <c r="AI16" s="640">
        <v>45111</v>
      </c>
      <c r="AJ16" s="562">
        <v>901.7</v>
      </c>
      <c r="AK16" s="693" t="s">
        <v>503</v>
      </c>
      <c r="AL16" s="564">
        <v>45</v>
      </c>
      <c r="AM16" s="363">
        <f t="shared" si="10"/>
        <v>40576.5</v>
      </c>
      <c r="AP16" s="103"/>
      <c r="AQ16" s="15">
        <v>9</v>
      </c>
      <c r="AR16" s="562">
        <v>893.1</v>
      </c>
      <c r="AS16" s="640">
        <v>45111</v>
      </c>
      <c r="AT16" s="562">
        <v>893.1</v>
      </c>
      <c r="AU16" s="693" t="s">
        <v>511</v>
      </c>
      <c r="AV16" s="564">
        <v>45</v>
      </c>
      <c r="AW16" s="363">
        <f t="shared" si="11"/>
        <v>40189.5</v>
      </c>
      <c r="AZ16" s="103"/>
      <c r="BA16" s="15">
        <v>9</v>
      </c>
      <c r="BB16" s="91">
        <v>893.6</v>
      </c>
      <c r="BC16" s="231">
        <v>45113</v>
      </c>
      <c r="BD16" s="562">
        <v>893.6</v>
      </c>
      <c r="BE16" s="94" t="s">
        <v>520</v>
      </c>
      <c r="BF16" s="70">
        <v>45</v>
      </c>
      <c r="BG16" s="363">
        <f t="shared" si="12"/>
        <v>40212</v>
      </c>
      <c r="BJ16" s="103"/>
      <c r="BK16" s="15">
        <v>9</v>
      </c>
      <c r="BL16" s="91">
        <v>933.5</v>
      </c>
      <c r="BM16" s="231">
        <v>45114</v>
      </c>
      <c r="BN16" s="91">
        <v>933.5</v>
      </c>
      <c r="BO16" s="94" t="s">
        <v>538</v>
      </c>
      <c r="BP16" s="70">
        <v>46</v>
      </c>
      <c r="BQ16" s="440">
        <f t="shared" si="13"/>
        <v>42941</v>
      </c>
      <c r="BR16" s="363"/>
      <c r="BT16" s="103"/>
      <c r="BU16" s="15">
        <v>9</v>
      </c>
      <c r="BV16" s="91">
        <v>907.2</v>
      </c>
      <c r="BW16" s="586">
        <v>45113</v>
      </c>
      <c r="BX16" s="562">
        <v>907.2</v>
      </c>
      <c r="BY16" s="734" t="s">
        <v>523</v>
      </c>
      <c r="BZ16" s="588">
        <v>45</v>
      </c>
      <c r="CA16" s="363">
        <f t="shared" si="5"/>
        <v>40824</v>
      </c>
      <c r="CD16" s="202"/>
      <c r="CE16" s="15">
        <v>9</v>
      </c>
      <c r="CF16" s="91">
        <v>929</v>
      </c>
      <c r="CG16" s="275">
        <v>45115</v>
      </c>
      <c r="CH16" s="91">
        <v>929</v>
      </c>
      <c r="CI16" s="277" t="s">
        <v>543</v>
      </c>
      <c r="CJ16" s="276">
        <v>46</v>
      </c>
      <c r="CK16" s="363">
        <f t="shared" si="14"/>
        <v>42734</v>
      </c>
      <c r="CN16" s="93"/>
      <c r="CO16" s="15">
        <v>9</v>
      </c>
      <c r="CP16" s="562">
        <v>933</v>
      </c>
      <c r="CQ16" s="586">
        <v>45118</v>
      </c>
      <c r="CR16" s="562">
        <v>933</v>
      </c>
      <c r="CS16" s="587" t="s">
        <v>565</v>
      </c>
      <c r="CT16" s="276">
        <v>47</v>
      </c>
      <c r="CU16" s="368">
        <f t="shared" si="58"/>
        <v>43851</v>
      </c>
      <c r="CX16" s="103"/>
      <c r="CY16" s="15">
        <v>9</v>
      </c>
      <c r="CZ16" s="562">
        <v>799</v>
      </c>
      <c r="DA16" s="640">
        <v>45118</v>
      </c>
      <c r="DB16" s="562">
        <v>799</v>
      </c>
      <c r="DC16" s="693" t="s">
        <v>570</v>
      </c>
      <c r="DD16" s="564">
        <v>42</v>
      </c>
      <c r="DE16" s="363">
        <f t="shared" si="15"/>
        <v>33558</v>
      </c>
      <c r="DH16" s="103"/>
      <c r="DI16" s="15">
        <v>9</v>
      </c>
      <c r="DJ16" s="562">
        <v>911.7</v>
      </c>
      <c r="DK16" s="586">
        <v>45119</v>
      </c>
      <c r="DL16" s="562">
        <v>911.7</v>
      </c>
      <c r="DM16" s="587" t="s">
        <v>575</v>
      </c>
      <c r="DN16" s="588">
        <v>0</v>
      </c>
      <c r="DO16" s="368">
        <f t="shared" si="16"/>
        <v>0</v>
      </c>
      <c r="DR16" s="103"/>
      <c r="DS16" s="15">
        <v>9</v>
      </c>
      <c r="DT16" s="562">
        <v>887.2</v>
      </c>
      <c r="DU16" s="586">
        <v>45119</v>
      </c>
      <c r="DV16" s="562">
        <v>887.2</v>
      </c>
      <c r="DW16" s="587" t="s">
        <v>583</v>
      </c>
      <c r="DX16" s="588">
        <v>48</v>
      </c>
      <c r="DY16" s="363">
        <f t="shared" si="17"/>
        <v>42585.600000000006</v>
      </c>
      <c r="EB16" s="103"/>
      <c r="EC16" s="15">
        <v>9</v>
      </c>
      <c r="ED16" s="68">
        <v>938.9</v>
      </c>
      <c r="EE16" s="238">
        <v>45120</v>
      </c>
      <c r="EF16" s="68">
        <v>938.9</v>
      </c>
      <c r="EG16" s="69" t="s">
        <v>590</v>
      </c>
      <c r="EH16" s="70">
        <v>48</v>
      </c>
      <c r="EI16" s="363">
        <f t="shared" si="18"/>
        <v>45067.199999999997</v>
      </c>
      <c r="EL16" s="103"/>
      <c r="EM16" s="15">
        <v>9</v>
      </c>
      <c r="EN16" s="68">
        <v>890.9</v>
      </c>
      <c r="EO16" s="238">
        <v>45121</v>
      </c>
      <c r="EP16" s="68">
        <v>890.9</v>
      </c>
      <c r="EQ16" s="69" t="s">
        <v>593</v>
      </c>
      <c r="ER16" s="70">
        <v>49</v>
      </c>
      <c r="ES16" s="363">
        <f t="shared" si="19"/>
        <v>43654.1</v>
      </c>
      <c r="EV16" s="316"/>
      <c r="EW16" s="15">
        <v>9</v>
      </c>
      <c r="EX16" s="562">
        <v>911.7</v>
      </c>
      <c r="EY16" s="640">
        <v>45122</v>
      </c>
      <c r="EZ16" s="562">
        <v>911.7</v>
      </c>
      <c r="FA16" s="563" t="s">
        <v>612</v>
      </c>
      <c r="FB16" s="564">
        <v>51</v>
      </c>
      <c r="FC16" s="363">
        <f t="shared" si="20"/>
        <v>46496.700000000004</v>
      </c>
      <c r="FF16" s="316"/>
      <c r="FG16" s="15">
        <v>9</v>
      </c>
      <c r="FH16" s="562">
        <v>926.2</v>
      </c>
      <c r="FI16" s="640">
        <v>45125</v>
      </c>
      <c r="FJ16" s="562">
        <v>926.2</v>
      </c>
      <c r="FK16" s="563" t="s">
        <v>636</v>
      </c>
      <c r="FL16" s="564">
        <v>51</v>
      </c>
      <c r="FM16" s="230">
        <f t="shared" si="21"/>
        <v>47236.200000000004</v>
      </c>
      <c r="FP16" s="103"/>
      <c r="FQ16" s="15">
        <v>9</v>
      </c>
      <c r="FR16" s="562">
        <v>887.2</v>
      </c>
      <c r="FS16" s="231">
        <v>45128</v>
      </c>
      <c r="FT16" s="562">
        <v>887.2</v>
      </c>
      <c r="FU16" s="69" t="s">
        <v>661</v>
      </c>
      <c r="FV16" s="70">
        <v>0</v>
      </c>
      <c r="FW16" s="363">
        <f t="shared" si="22"/>
        <v>0</v>
      </c>
      <c r="FZ16" s="103"/>
      <c r="GA16" s="15">
        <v>9</v>
      </c>
      <c r="GB16" s="336">
        <v>915.3</v>
      </c>
      <c r="GC16" s="231">
        <v>45126</v>
      </c>
      <c r="GD16" s="336">
        <v>915.3</v>
      </c>
      <c r="GE16" s="94" t="s">
        <v>646</v>
      </c>
      <c r="GF16" s="70">
        <v>51</v>
      </c>
      <c r="GG16" s="363">
        <f t="shared" si="23"/>
        <v>46680.299999999996</v>
      </c>
      <c r="GJ16" s="103"/>
      <c r="GK16" s="15">
        <v>9</v>
      </c>
      <c r="GL16" s="91">
        <v>869.1</v>
      </c>
      <c r="GM16" s="231">
        <v>45127</v>
      </c>
      <c r="GN16" s="91">
        <v>869.1</v>
      </c>
      <c r="GO16" s="94" t="s">
        <v>652</v>
      </c>
      <c r="GP16" s="70">
        <v>51</v>
      </c>
      <c r="GQ16" s="363">
        <f t="shared" si="24"/>
        <v>44324.1</v>
      </c>
      <c r="GT16" s="103"/>
      <c r="GU16" s="15">
        <v>9</v>
      </c>
      <c r="GV16" s="91">
        <v>894.5</v>
      </c>
      <c r="GW16" s="231">
        <v>45128</v>
      </c>
      <c r="GX16" s="91">
        <v>894.5</v>
      </c>
      <c r="GY16" s="94" t="s">
        <v>665</v>
      </c>
      <c r="GZ16" s="70">
        <v>51</v>
      </c>
      <c r="HA16" s="363">
        <f t="shared" si="25"/>
        <v>45619.5</v>
      </c>
      <c r="HD16" s="103"/>
      <c r="HE16" s="15">
        <v>9</v>
      </c>
      <c r="HF16" s="562">
        <v>902.6</v>
      </c>
      <c r="HG16" s="640">
        <v>45136</v>
      </c>
      <c r="HH16" s="562">
        <v>902.6</v>
      </c>
      <c r="HI16" s="693" t="s">
        <v>731</v>
      </c>
      <c r="HJ16" s="564">
        <v>0</v>
      </c>
      <c r="HK16" s="363">
        <f t="shared" si="26"/>
        <v>0</v>
      </c>
      <c r="HN16" s="103"/>
      <c r="HO16" s="624">
        <v>9</v>
      </c>
      <c r="HP16" s="562">
        <v>919</v>
      </c>
      <c r="HQ16" s="231">
        <v>45132</v>
      </c>
      <c r="HR16" s="562">
        <v>919</v>
      </c>
      <c r="HS16" s="278" t="s">
        <v>687</v>
      </c>
      <c r="HT16" s="70">
        <v>51</v>
      </c>
      <c r="HU16" s="230">
        <f t="shared" si="27"/>
        <v>46869</v>
      </c>
      <c r="HX16" s="93"/>
      <c r="HY16" s="15">
        <v>9</v>
      </c>
      <c r="HZ16" s="565">
        <v>912.6</v>
      </c>
      <c r="IA16" s="646">
        <v>45133</v>
      </c>
      <c r="IB16" s="565">
        <v>912.6</v>
      </c>
      <c r="IC16" s="563" t="s">
        <v>700</v>
      </c>
      <c r="ID16" s="564">
        <v>51</v>
      </c>
      <c r="IE16" s="363">
        <f t="shared" si="6"/>
        <v>46542.6</v>
      </c>
      <c r="IH16" s="103"/>
      <c r="II16" s="15">
        <v>9</v>
      </c>
      <c r="IJ16" s="68">
        <v>919</v>
      </c>
      <c r="IK16" s="238">
        <v>45134</v>
      </c>
      <c r="IL16" s="68">
        <v>919</v>
      </c>
      <c r="IM16" s="69" t="s">
        <v>711</v>
      </c>
      <c r="IN16" s="70">
        <v>51</v>
      </c>
      <c r="IO16" s="230">
        <f t="shared" si="28"/>
        <v>46869</v>
      </c>
      <c r="IR16" s="103"/>
      <c r="IS16" s="15">
        <v>9</v>
      </c>
      <c r="IT16" s="68">
        <v>922.6</v>
      </c>
      <c r="IU16" s="238">
        <v>45135</v>
      </c>
      <c r="IV16" s="68">
        <v>922.6</v>
      </c>
      <c r="IW16" s="69" t="s">
        <v>720</v>
      </c>
      <c r="IX16" s="70">
        <v>51</v>
      </c>
      <c r="IY16" s="230">
        <f t="shared" si="29"/>
        <v>47052.6</v>
      </c>
      <c r="IZ16" s="91"/>
      <c r="JA16" s="68"/>
      <c r="JB16" s="103"/>
      <c r="JC16" s="15">
        <v>9</v>
      </c>
      <c r="JD16" s="91">
        <v>941.65</v>
      </c>
      <c r="JE16" s="238">
        <v>45136</v>
      </c>
      <c r="JF16" s="91">
        <v>941.65</v>
      </c>
      <c r="JG16" s="69" t="s">
        <v>729</v>
      </c>
      <c r="JH16" s="70">
        <v>51</v>
      </c>
      <c r="JI16" s="363">
        <f t="shared" si="30"/>
        <v>48024.15</v>
      </c>
      <c r="JJ16" s="68"/>
      <c r="JL16" s="103"/>
      <c r="JM16" s="15">
        <v>9</v>
      </c>
      <c r="JN16" s="91"/>
      <c r="JO16" s="231"/>
      <c r="JP16" s="91"/>
      <c r="JQ16" s="69"/>
      <c r="JR16" s="70"/>
      <c r="JS16" s="363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3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3">
        <f t="shared" si="33"/>
        <v>0</v>
      </c>
      <c r="KP16" s="103"/>
      <c r="KQ16" s="15">
        <v>9</v>
      </c>
      <c r="KR16" s="68"/>
      <c r="KS16" s="238"/>
      <c r="KT16" s="68"/>
      <c r="KU16" s="563"/>
      <c r="KV16" s="564"/>
      <c r="KW16" s="363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3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3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3">
        <f t="shared" si="37"/>
        <v>0</v>
      </c>
      <c r="MB16" s="363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100575939</v>
      </c>
      <c r="E17" s="131">
        <f t="shared" si="65"/>
        <v>45121</v>
      </c>
      <c r="F17" s="85">
        <f t="shared" si="65"/>
        <v>19031.169999999998</v>
      </c>
      <c r="G17" s="72">
        <f t="shared" si="65"/>
        <v>21</v>
      </c>
      <c r="H17" s="48">
        <f t="shared" si="65"/>
        <v>19010.900000000001</v>
      </c>
      <c r="I17" s="102">
        <f t="shared" si="65"/>
        <v>20.269999999996799</v>
      </c>
      <c r="L17" s="103"/>
      <c r="M17" s="15">
        <v>10</v>
      </c>
      <c r="N17" s="68">
        <v>951.63</v>
      </c>
      <c r="O17" s="1481">
        <v>45110</v>
      </c>
      <c r="P17" s="1482">
        <v>951.63</v>
      </c>
      <c r="Q17" s="1483" t="s">
        <v>495</v>
      </c>
      <c r="R17" s="1484">
        <v>45</v>
      </c>
      <c r="S17" s="1485">
        <f t="shared" si="8"/>
        <v>42823.35</v>
      </c>
      <c r="V17" s="103"/>
      <c r="W17" s="15">
        <v>10</v>
      </c>
      <c r="X17" s="565">
        <v>885</v>
      </c>
      <c r="Y17" s="646">
        <v>45111</v>
      </c>
      <c r="Z17" s="565">
        <v>885</v>
      </c>
      <c r="AA17" s="563" t="s">
        <v>504</v>
      </c>
      <c r="AB17" s="564">
        <v>42</v>
      </c>
      <c r="AC17" s="363">
        <f t="shared" si="9"/>
        <v>37170</v>
      </c>
      <c r="AF17" s="103"/>
      <c r="AG17" s="15">
        <v>10</v>
      </c>
      <c r="AH17" s="562">
        <v>867.3</v>
      </c>
      <c r="AI17" s="640">
        <v>45111</v>
      </c>
      <c r="AJ17" s="562">
        <v>867.3</v>
      </c>
      <c r="AK17" s="693" t="s">
        <v>503</v>
      </c>
      <c r="AL17" s="564">
        <v>45</v>
      </c>
      <c r="AM17" s="363">
        <f t="shared" si="10"/>
        <v>39028.5</v>
      </c>
      <c r="AP17" s="103"/>
      <c r="AQ17" s="15">
        <v>10</v>
      </c>
      <c r="AR17" s="562">
        <v>938.5</v>
      </c>
      <c r="AS17" s="640">
        <v>45112</v>
      </c>
      <c r="AT17" s="562">
        <v>938.5</v>
      </c>
      <c r="AU17" s="693" t="s">
        <v>516</v>
      </c>
      <c r="AV17" s="564">
        <v>45</v>
      </c>
      <c r="AW17" s="363">
        <f t="shared" si="11"/>
        <v>42232.5</v>
      </c>
      <c r="AZ17" s="103"/>
      <c r="BA17" s="15">
        <v>10</v>
      </c>
      <c r="BB17" s="91">
        <v>936.2</v>
      </c>
      <c r="BC17" s="231">
        <v>45114</v>
      </c>
      <c r="BD17" s="91">
        <v>936.2</v>
      </c>
      <c r="BE17" s="94" t="s">
        <v>529</v>
      </c>
      <c r="BF17" s="70">
        <v>46</v>
      </c>
      <c r="BG17" s="363">
        <f t="shared" si="12"/>
        <v>43065.200000000004</v>
      </c>
      <c r="BJ17" s="103"/>
      <c r="BK17" s="15">
        <v>10</v>
      </c>
      <c r="BL17" s="91">
        <v>901.7</v>
      </c>
      <c r="BM17" s="231">
        <v>45114</v>
      </c>
      <c r="BN17" s="91">
        <v>901.7</v>
      </c>
      <c r="BO17" s="94" t="s">
        <v>538</v>
      </c>
      <c r="BP17" s="70">
        <v>46</v>
      </c>
      <c r="BQ17" s="440">
        <f t="shared" si="13"/>
        <v>41478.200000000004</v>
      </c>
      <c r="BR17" s="363"/>
      <c r="BT17" s="103"/>
      <c r="BU17" s="15">
        <v>10</v>
      </c>
      <c r="BV17" s="91">
        <v>936.2</v>
      </c>
      <c r="BW17" s="586">
        <v>45113</v>
      </c>
      <c r="BX17" s="562">
        <v>936.2</v>
      </c>
      <c r="BY17" s="734" t="s">
        <v>523</v>
      </c>
      <c r="BZ17" s="588">
        <v>45</v>
      </c>
      <c r="CA17" s="363">
        <f t="shared" si="5"/>
        <v>42129</v>
      </c>
      <c r="CD17" s="202"/>
      <c r="CE17" s="15">
        <v>10</v>
      </c>
      <c r="CF17" s="91">
        <v>888.1</v>
      </c>
      <c r="CG17" s="275">
        <v>888.1</v>
      </c>
      <c r="CH17" s="91">
        <v>888.1</v>
      </c>
      <c r="CI17" s="277" t="s">
        <v>543</v>
      </c>
      <c r="CJ17" s="276">
        <v>46</v>
      </c>
      <c r="CK17" s="363">
        <f t="shared" si="14"/>
        <v>40852.6</v>
      </c>
      <c r="CN17" s="93"/>
      <c r="CO17" s="15">
        <v>10</v>
      </c>
      <c r="CP17" s="562">
        <v>921.2</v>
      </c>
      <c r="CQ17" s="586">
        <v>45118</v>
      </c>
      <c r="CR17" s="562">
        <v>921.2</v>
      </c>
      <c r="CS17" s="587" t="s">
        <v>565</v>
      </c>
      <c r="CT17" s="276">
        <v>47</v>
      </c>
      <c r="CU17" s="368">
        <f t="shared" si="58"/>
        <v>43296.4</v>
      </c>
      <c r="CX17" s="103"/>
      <c r="CY17" s="15">
        <v>10</v>
      </c>
      <c r="CZ17" s="562">
        <v>793.5</v>
      </c>
      <c r="DA17" s="640">
        <v>45118</v>
      </c>
      <c r="DB17" s="562">
        <v>793.5</v>
      </c>
      <c r="DC17" s="693" t="s">
        <v>570</v>
      </c>
      <c r="DD17" s="564">
        <v>42</v>
      </c>
      <c r="DE17" s="363">
        <f t="shared" si="15"/>
        <v>33327</v>
      </c>
      <c r="DH17" s="103"/>
      <c r="DI17" s="15">
        <v>10</v>
      </c>
      <c r="DJ17" s="565">
        <v>919.4</v>
      </c>
      <c r="DK17" s="586">
        <v>45119</v>
      </c>
      <c r="DL17" s="562">
        <v>919.4</v>
      </c>
      <c r="DM17" s="587" t="s">
        <v>575</v>
      </c>
      <c r="DN17" s="588">
        <v>0</v>
      </c>
      <c r="DO17" s="368">
        <f t="shared" si="16"/>
        <v>0</v>
      </c>
      <c r="DR17" s="103"/>
      <c r="DS17" s="15">
        <v>10</v>
      </c>
      <c r="DT17" s="562">
        <v>883.6</v>
      </c>
      <c r="DU17" s="586">
        <v>45119</v>
      </c>
      <c r="DV17" s="562">
        <v>883.6</v>
      </c>
      <c r="DW17" s="587" t="s">
        <v>583</v>
      </c>
      <c r="DX17" s="588">
        <v>48</v>
      </c>
      <c r="DY17" s="363">
        <f t="shared" si="17"/>
        <v>42412.800000000003</v>
      </c>
      <c r="EB17" s="103"/>
      <c r="EC17" s="15">
        <v>10</v>
      </c>
      <c r="ED17" s="68">
        <v>899.9</v>
      </c>
      <c r="EE17" s="238">
        <v>45120</v>
      </c>
      <c r="EF17" s="68">
        <v>899.9</v>
      </c>
      <c r="EG17" s="69" t="s">
        <v>590</v>
      </c>
      <c r="EH17" s="70">
        <v>48</v>
      </c>
      <c r="EI17" s="363">
        <f t="shared" si="18"/>
        <v>43195.199999999997</v>
      </c>
      <c r="EL17" s="103"/>
      <c r="EM17" s="15">
        <v>10</v>
      </c>
      <c r="EN17" s="68">
        <v>870</v>
      </c>
      <c r="EO17" s="238">
        <v>45121</v>
      </c>
      <c r="EP17" s="68">
        <v>870</v>
      </c>
      <c r="EQ17" s="69" t="s">
        <v>593</v>
      </c>
      <c r="ER17" s="70">
        <v>49</v>
      </c>
      <c r="ES17" s="363">
        <f t="shared" si="19"/>
        <v>42630</v>
      </c>
      <c r="EV17" s="103"/>
      <c r="EW17" s="15">
        <v>10</v>
      </c>
      <c r="EX17" s="562">
        <v>940.7</v>
      </c>
      <c r="EY17" s="640">
        <v>45122</v>
      </c>
      <c r="EZ17" s="562">
        <v>940.7</v>
      </c>
      <c r="FA17" s="563" t="s">
        <v>612</v>
      </c>
      <c r="FB17" s="564">
        <v>51</v>
      </c>
      <c r="FC17" s="363">
        <f t="shared" si="20"/>
        <v>47975.700000000004</v>
      </c>
      <c r="FF17" s="103"/>
      <c r="FG17" s="15">
        <v>10</v>
      </c>
      <c r="FH17" s="562">
        <v>886.8</v>
      </c>
      <c r="FI17" s="640">
        <v>45125</v>
      </c>
      <c r="FJ17" s="562">
        <v>886.8</v>
      </c>
      <c r="FK17" s="563" t="s">
        <v>636</v>
      </c>
      <c r="FL17" s="564">
        <v>51</v>
      </c>
      <c r="FM17" s="230">
        <f t="shared" si="21"/>
        <v>45226.799999999996</v>
      </c>
      <c r="FP17" s="103"/>
      <c r="FQ17" s="15">
        <v>10</v>
      </c>
      <c r="FR17" s="562">
        <v>907.6</v>
      </c>
      <c r="FS17" s="231">
        <v>45126</v>
      </c>
      <c r="FT17" s="562">
        <v>907.6</v>
      </c>
      <c r="FU17" s="69" t="s">
        <v>644</v>
      </c>
      <c r="FV17" s="70">
        <v>0</v>
      </c>
      <c r="FW17" s="363">
        <f t="shared" si="22"/>
        <v>0</v>
      </c>
      <c r="FZ17" s="103"/>
      <c r="GA17" s="15">
        <v>10</v>
      </c>
      <c r="GB17" s="336">
        <v>895.4</v>
      </c>
      <c r="GC17" s="231">
        <v>45126</v>
      </c>
      <c r="GD17" s="336">
        <v>895.4</v>
      </c>
      <c r="GE17" s="94" t="s">
        <v>646</v>
      </c>
      <c r="GF17" s="70">
        <v>51</v>
      </c>
      <c r="GG17" s="363">
        <f t="shared" si="23"/>
        <v>45665.4</v>
      </c>
      <c r="GJ17" s="103"/>
      <c r="GK17" s="15">
        <v>10</v>
      </c>
      <c r="GL17" s="91">
        <v>889.5</v>
      </c>
      <c r="GM17" s="231">
        <v>45127</v>
      </c>
      <c r="GN17" s="91">
        <v>889.5</v>
      </c>
      <c r="GO17" s="94" t="s">
        <v>652</v>
      </c>
      <c r="GP17" s="70">
        <v>51</v>
      </c>
      <c r="GQ17" s="363">
        <f t="shared" si="24"/>
        <v>45364.5</v>
      </c>
      <c r="GT17" s="103"/>
      <c r="GU17" s="15">
        <v>10</v>
      </c>
      <c r="GV17" s="91">
        <v>919</v>
      </c>
      <c r="GW17" s="231">
        <v>45128</v>
      </c>
      <c r="GX17" s="91">
        <v>919</v>
      </c>
      <c r="GY17" s="94" t="s">
        <v>665</v>
      </c>
      <c r="GZ17" s="70">
        <v>51</v>
      </c>
      <c r="HA17" s="363">
        <f t="shared" si="25"/>
        <v>46869</v>
      </c>
      <c r="HD17" s="103"/>
      <c r="HE17" s="15">
        <v>10</v>
      </c>
      <c r="HF17" s="562">
        <v>899</v>
      </c>
      <c r="HG17" s="640">
        <v>45133</v>
      </c>
      <c r="HH17" s="562">
        <v>899</v>
      </c>
      <c r="HI17" s="693" t="s">
        <v>696</v>
      </c>
      <c r="HJ17" s="564">
        <v>0</v>
      </c>
      <c r="HK17" s="363">
        <f t="shared" si="26"/>
        <v>0</v>
      </c>
      <c r="HN17" s="103"/>
      <c r="HO17" s="624">
        <v>10</v>
      </c>
      <c r="HP17" s="562">
        <v>907.2</v>
      </c>
      <c r="HQ17" s="231">
        <v>45132</v>
      </c>
      <c r="HR17" s="562">
        <v>907.2</v>
      </c>
      <c r="HS17" s="278" t="s">
        <v>687</v>
      </c>
      <c r="HT17" s="70">
        <v>51</v>
      </c>
      <c r="HU17" s="230">
        <f t="shared" si="27"/>
        <v>46267.200000000004</v>
      </c>
      <c r="HX17" s="93"/>
      <c r="HY17" s="15">
        <v>10</v>
      </c>
      <c r="HZ17" s="565">
        <v>893.6</v>
      </c>
      <c r="IA17" s="646">
        <v>45133</v>
      </c>
      <c r="IB17" s="565">
        <v>893.6</v>
      </c>
      <c r="IC17" s="563" t="s">
        <v>700</v>
      </c>
      <c r="ID17" s="564">
        <v>51</v>
      </c>
      <c r="IE17" s="363">
        <f t="shared" si="6"/>
        <v>45573.599999999999</v>
      </c>
      <c r="IH17" s="103"/>
      <c r="II17" s="15">
        <v>10</v>
      </c>
      <c r="IJ17" s="68">
        <v>902.6</v>
      </c>
      <c r="IK17" s="238">
        <v>45134</v>
      </c>
      <c r="IL17" s="68">
        <v>902.6</v>
      </c>
      <c r="IM17" s="69" t="s">
        <v>711</v>
      </c>
      <c r="IN17" s="70">
        <v>51</v>
      </c>
      <c r="IO17" s="230">
        <f t="shared" si="28"/>
        <v>46032.6</v>
      </c>
      <c r="IR17" s="103"/>
      <c r="IS17" s="15">
        <v>10</v>
      </c>
      <c r="IT17" s="68">
        <v>890.9</v>
      </c>
      <c r="IU17" s="238">
        <v>45135</v>
      </c>
      <c r="IV17" s="68">
        <v>890.9</v>
      </c>
      <c r="IW17" s="69" t="s">
        <v>720</v>
      </c>
      <c r="IX17" s="70">
        <v>51</v>
      </c>
      <c r="IY17" s="230">
        <f t="shared" si="29"/>
        <v>45435.9</v>
      </c>
      <c r="IZ17" s="91"/>
      <c r="JA17" s="68"/>
      <c r="JB17" s="103"/>
      <c r="JC17" s="15">
        <v>10</v>
      </c>
      <c r="JD17" s="91">
        <v>925.32</v>
      </c>
      <c r="JE17" s="238">
        <v>45136</v>
      </c>
      <c r="JF17" s="91">
        <v>925.32</v>
      </c>
      <c r="JG17" s="69" t="s">
        <v>730</v>
      </c>
      <c r="JH17" s="70">
        <v>51</v>
      </c>
      <c r="JI17" s="363">
        <f t="shared" si="30"/>
        <v>47191.32</v>
      </c>
      <c r="JJ17" s="68"/>
      <c r="JL17" s="103"/>
      <c r="JM17" s="15">
        <v>10</v>
      </c>
      <c r="JN17" s="91"/>
      <c r="JO17" s="231"/>
      <c r="JP17" s="91"/>
      <c r="JQ17" s="69"/>
      <c r="JR17" s="70"/>
      <c r="JS17" s="363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3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3">
        <f t="shared" si="33"/>
        <v>0</v>
      </c>
      <c r="KP17" s="103"/>
      <c r="KQ17" s="15">
        <v>10</v>
      </c>
      <c r="KR17" s="68"/>
      <c r="KS17" s="238"/>
      <c r="KT17" s="68"/>
      <c r="KU17" s="563"/>
      <c r="KV17" s="564"/>
      <c r="KW17" s="363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3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3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3">
        <f t="shared" si="37"/>
        <v>0</v>
      </c>
      <c r="MB17" s="363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65"/>
      <c r="SL17" s="640"/>
      <c r="SM17" s="562"/>
      <c r="SN17" s="693"/>
      <c r="SO17" s="564"/>
      <c r="SP17" s="56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100654709</v>
      </c>
      <c r="E18" s="131">
        <f t="shared" si="66"/>
        <v>45122</v>
      </c>
      <c r="F18" s="85">
        <f t="shared" si="66"/>
        <v>18216.79</v>
      </c>
      <c r="G18" s="72">
        <f t="shared" si="66"/>
        <v>20</v>
      </c>
      <c r="H18" s="48">
        <f t="shared" si="66"/>
        <v>18220.2</v>
      </c>
      <c r="I18" s="102">
        <f t="shared" si="66"/>
        <v>-3.4099999999998545</v>
      </c>
      <c r="L18" s="103"/>
      <c r="M18" s="15">
        <v>11</v>
      </c>
      <c r="N18" s="68">
        <v>956.17</v>
      </c>
      <c r="O18" s="238">
        <v>45108</v>
      </c>
      <c r="P18" s="68">
        <v>956.17</v>
      </c>
      <c r="Q18" s="69" t="s">
        <v>304</v>
      </c>
      <c r="R18" s="70">
        <v>45</v>
      </c>
      <c r="S18" s="363">
        <f t="shared" si="8"/>
        <v>43027.65</v>
      </c>
      <c r="V18" s="103"/>
      <c r="W18" s="15">
        <v>11</v>
      </c>
      <c r="X18" s="565">
        <v>809.5</v>
      </c>
      <c r="Y18" s="646">
        <v>45111</v>
      </c>
      <c r="Z18" s="565">
        <v>809.5</v>
      </c>
      <c r="AA18" s="563" t="s">
        <v>504</v>
      </c>
      <c r="AB18" s="564">
        <v>42</v>
      </c>
      <c r="AC18" s="363">
        <f t="shared" si="9"/>
        <v>33999</v>
      </c>
      <c r="AF18" s="103"/>
      <c r="AG18" s="15">
        <v>11</v>
      </c>
      <c r="AH18" s="562">
        <v>888.1</v>
      </c>
      <c r="AI18" s="640">
        <v>45111</v>
      </c>
      <c r="AJ18" s="562">
        <v>888.1</v>
      </c>
      <c r="AK18" s="693" t="s">
        <v>502</v>
      </c>
      <c r="AL18" s="564">
        <v>45</v>
      </c>
      <c r="AM18" s="363">
        <f t="shared" si="10"/>
        <v>39964.5</v>
      </c>
      <c r="AP18" s="103"/>
      <c r="AQ18" s="15">
        <v>11</v>
      </c>
      <c r="AR18" s="562">
        <v>933.5</v>
      </c>
      <c r="AS18" s="640">
        <v>45112</v>
      </c>
      <c r="AT18" s="562">
        <v>933.5</v>
      </c>
      <c r="AU18" s="693" t="s">
        <v>516</v>
      </c>
      <c r="AV18" s="564">
        <v>45</v>
      </c>
      <c r="AW18" s="363">
        <f t="shared" si="11"/>
        <v>42007.5</v>
      </c>
      <c r="AZ18" s="103"/>
      <c r="BA18" s="15">
        <v>11</v>
      </c>
      <c r="BB18" s="91">
        <v>896.3</v>
      </c>
      <c r="BC18" s="231">
        <v>45114</v>
      </c>
      <c r="BD18" s="91">
        <v>896.3</v>
      </c>
      <c r="BE18" s="94" t="s">
        <v>532</v>
      </c>
      <c r="BF18" s="70">
        <v>46</v>
      </c>
      <c r="BG18" s="363">
        <f t="shared" si="12"/>
        <v>41229.799999999996</v>
      </c>
      <c r="BJ18" s="103"/>
      <c r="BK18" s="15">
        <v>11</v>
      </c>
      <c r="BL18" s="91">
        <v>909</v>
      </c>
      <c r="BM18" s="231">
        <v>45114</v>
      </c>
      <c r="BN18" s="91">
        <v>909</v>
      </c>
      <c r="BO18" s="94" t="s">
        <v>538</v>
      </c>
      <c r="BP18" s="70">
        <v>46</v>
      </c>
      <c r="BQ18" s="440">
        <f t="shared" si="13"/>
        <v>41814</v>
      </c>
      <c r="BR18" s="363"/>
      <c r="BT18" s="103"/>
      <c r="BU18" s="15">
        <v>11</v>
      </c>
      <c r="BV18" s="91">
        <v>904.5</v>
      </c>
      <c r="BW18" s="275">
        <v>45113</v>
      </c>
      <c r="BX18" s="562">
        <v>904.5</v>
      </c>
      <c r="BY18" s="505" t="s">
        <v>522</v>
      </c>
      <c r="BZ18" s="276">
        <v>45</v>
      </c>
      <c r="CA18" s="363">
        <f t="shared" si="5"/>
        <v>40702.5</v>
      </c>
      <c r="CD18" s="202"/>
      <c r="CE18" s="15">
        <v>11</v>
      </c>
      <c r="CF18" s="68">
        <v>898.1</v>
      </c>
      <c r="CG18" s="275">
        <v>45115</v>
      </c>
      <c r="CH18" s="68">
        <v>898.1</v>
      </c>
      <c r="CI18" s="277" t="s">
        <v>547</v>
      </c>
      <c r="CJ18" s="276">
        <v>46</v>
      </c>
      <c r="CK18" s="363">
        <f t="shared" si="14"/>
        <v>41312.6</v>
      </c>
      <c r="CN18" s="93"/>
      <c r="CO18" s="15">
        <v>11</v>
      </c>
      <c r="CP18" s="565">
        <v>896.7</v>
      </c>
      <c r="CQ18" s="586">
        <v>45118</v>
      </c>
      <c r="CR18" s="565">
        <v>896.7</v>
      </c>
      <c r="CS18" s="587" t="s">
        <v>565</v>
      </c>
      <c r="CT18" s="276">
        <v>47</v>
      </c>
      <c r="CU18" s="368">
        <f t="shared" si="58"/>
        <v>42144.9</v>
      </c>
      <c r="CX18" s="103"/>
      <c r="CY18" s="15">
        <v>11</v>
      </c>
      <c r="CZ18" s="562">
        <v>779.5</v>
      </c>
      <c r="DA18" s="640">
        <v>45118</v>
      </c>
      <c r="DB18" s="562">
        <v>779.5</v>
      </c>
      <c r="DC18" s="693" t="s">
        <v>570</v>
      </c>
      <c r="DD18" s="564">
        <v>42</v>
      </c>
      <c r="DE18" s="363">
        <f t="shared" si="15"/>
        <v>32739</v>
      </c>
      <c r="DH18" s="103"/>
      <c r="DI18" s="15">
        <v>11</v>
      </c>
      <c r="DJ18" s="562">
        <v>888.1</v>
      </c>
      <c r="DK18" s="586">
        <v>45118</v>
      </c>
      <c r="DL18" s="562">
        <v>888.1</v>
      </c>
      <c r="DM18" s="587" t="s">
        <v>567</v>
      </c>
      <c r="DN18" s="588">
        <v>0</v>
      </c>
      <c r="DO18" s="368">
        <f t="shared" si="16"/>
        <v>0</v>
      </c>
      <c r="DR18" s="103"/>
      <c r="DS18" s="15">
        <v>11</v>
      </c>
      <c r="DT18" s="565">
        <v>936.2</v>
      </c>
      <c r="DU18" s="586">
        <v>45119</v>
      </c>
      <c r="DV18" s="565">
        <v>936.2</v>
      </c>
      <c r="DW18" s="587" t="s">
        <v>582</v>
      </c>
      <c r="DX18" s="588">
        <v>48</v>
      </c>
      <c r="DY18" s="363">
        <f t="shared" si="17"/>
        <v>44937.600000000006</v>
      </c>
      <c r="EB18" s="103"/>
      <c r="EC18" s="15">
        <v>11</v>
      </c>
      <c r="ED18" s="68">
        <v>925.3</v>
      </c>
      <c r="EE18" s="238">
        <v>45120</v>
      </c>
      <c r="EF18" s="68">
        <v>925.3</v>
      </c>
      <c r="EG18" s="69" t="s">
        <v>592</v>
      </c>
      <c r="EH18" s="70">
        <v>48</v>
      </c>
      <c r="EI18" s="363">
        <f t="shared" si="18"/>
        <v>44414.399999999994</v>
      </c>
      <c r="EL18" s="103"/>
      <c r="EM18" s="15">
        <v>11</v>
      </c>
      <c r="EN18" s="68">
        <v>934.4</v>
      </c>
      <c r="EO18" s="238">
        <v>45121</v>
      </c>
      <c r="EP18" s="68">
        <v>934.4</v>
      </c>
      <c r="EQ18" s="69" t="s">
        <v>591</v>
      </c>
      <c r="ER18" s="70">
        <v>49</v>
      </c>
      <c r="ES18" s="363">
        <f t="shared" si="19"/>
        <v>45785.599999999999</v>
      </c>
      <c r="EV18" s="103"/>
      <c r="EW18" s="15">
        <v>11</v>
      </c>
      <c r="EX18" s="562">
        <v>919</v>
      </c>
      <c r="EY18" s="640">
        <v>45122</v>
      </c>
      <c r="EZ18" s="562">
        <v>919</v>
      </c>
      <c r="FA18" s="563" t="s">
        <v>611</v>
      </c>
      <c r="FB18" s="564">
        <v>51</v>
      </c>
      <c r="FC18" s="363">
        <f t="shared" si="20"/>
        <v>46869</v>
      </c>
      <c r="FF18" s="103"/>
      <c r="FG18" s="15">
        <v>11</v>
      </c>
      <c r="FH18" s="562">
        <v>884</v>
      </c>
      <c r="FI18" s="640">
        <v>45125</v>
      </c>
      <c r="FJ18" s="562">
        <v>884</v>
      </c>
      <c r="FK18" s="563" t="s">
        <v>635</v>
      </c>
      <c r="FL18" s="564">
        <v>51</v>
      </c>
      <c r="FM18" s="230">
        <f t="shared" si="21"/>
        <v>45084</v>
      </c>
      <c r="FP18" s="103"/>
      <c r="FQ18" s="15">
        <v>11</v>
      </c>
      <c r="FR18" s="562">
        <v>934.4</v>
      </c>
      <c r="FS18" s="231">
        <v>45126</v>
      </c>
      <c r="FT18" s="562">
        <v>934.4</v>
      </c>
      <c r="FU18" s="69" t="s">
        <v>647</v>
      </c>
      <c r="FV18" s="70">
        <v>0</v>
      </c>
      <c r="FW18" s="363">
        <f t="shared" si="22"/>
        <v>0</v>
      </c>
      <c r="FX18" s="70"/>
      <c r="FZ18" s="103"/>
      <c r="GA18" s="15">
        <v>11</v>
      </c>
      <c r="GB18" s="336">
        <v>866.4</v>
      </c>
      <c r="GC18" s="231">
        <v>45126</v>
      </c>
      <c r="GD18" s="336">
        <v>866.4</v>
      </c>
      <c r="GE18" s="94" t="s">
        <v>646</v>
      </c>
      <c r="GF18" s="70">
        <v>51</v>
      </c>
      <c r="GG18" s="363">
        <f t="shared" si="23"/>
        <v>44186.400000000001</v>
      </c>
      <c r="GJ18" s="103"/>
      <c r="GK18" s="15">
        <v>11</v>
      </c>
      <c r="GL18" s="91">
        <v>913.5</v>
      </c>
      <c r="GM18" s="231">
        <v>45127</v>
      </c>
      <c r="GN18" s="91">
        <v>913.5</v>
      </c>
      <c r="GO18" s="94" t="s">
        <v>653</v>
      </c>
      <c r="GP18" s="70">
        <v>51</v>
      </c>
      <c r="GQ18" s="363">
        <f t="shared" si="24"/>
        <v>46588.5</v>
      </c>
      <c r="GT18" s="103"/>
      <c r="GU18" s="15">
        <v>11</v>
      </c>
      <c r="GV18" s="91">
        <v>874.5</v>
      </c>
      <c r="GW18" s="231">
        <v>45128</v>
      </c>
      <c r="GX18" s="91">
        <v>874.5</v>
      </c>
      <c r="GY18" s="94" t="s">
        <v>665</v>
      </c>
      <c r="GZ18" s="70">
        <v>51</v>
      </c>
      <c r="HA18" s="363">
        <f t="shared" si="25"/>
        <v>44599.5</v>
      </c>
      <c r="HD18" s="103"/>
      <c r="HE18" s="15">
        <v>11</v>
      </c>
      <c r="HF18" s="562">
        <v>937.1</v>
      </c>
      <c r="HG18" s="640">
        <v>45041</v>
      </c>
      <c r="HH18" s="562">
        <v>937.1</v>
      </c>
      <c r="HI18" s="693" t="s">
        <v>693</v>
      </c>
      <c r="HJ18" s="564">
        <v>0</v>
      </c>
      <c r="HK18" s="363">
        <f t="shared" si="26"/>
        <v>0</v>
      </c>
      <c r="HN18" s="103"/>
      <c r="HO18" s="624">
        <v>11</v>
      </c>
      <c r="HP18" s="562">
        <v>938.9</v>
      </c>
      <c r="HQ18" s="231">
        <v>45132</v>
      </c>
      <c r="HR18" s="562">
        <v>938.9</v>
      </c>
      <c r="HS18" s="278" t="s">
        <v>688</v>
      </c>
      <c r="HT18" s="70">
        <v>51</v>
      </c>
      <c r="HU18" s="230">
        <f t="shared" si="27"/>
        <v>47883.9</v>
      </c>
      <c r="HX18" s="93"/>
      <c r="HY18" s="15">
        <v>11</v>
      </c>
      <c r="HZ18" s="565">
        <v>839.1</v>
      </c>
      <c r="IA18" s="646">
        <v>45133</v>
      </c>
      <c r="IB18" s="565">
        <v>839.1</v>
      </c>
      <c r="IC18" s="563" t="s">
        <v>701</v>
      </c>
      <c r="ID18" s="564">
        <v>51</v>
      </c>
      <c r="IE18" s="363">
        <f t="shared" si="6"/>
        <v>42794.1</v>
      </c>
      <c r="IH18" s="103"/>
      <c r="II18" s="15">
        <v>11</v>
      </c>
      <c r="IJ18" s="68">
        <v>866.4</v>
      </c>
      <c r="IK18" s="238">
        <v>45134</v>
      </c>
      <c r="IL18" s="68">
        <v>866.4</v>
      </c>
      <c r="IM18" s="69" t="s">
        <v>712</v>
      </c>
      <c r="IN18" s="70">
        <v>51</v>
      </c>
      <c r="IO18" s="230">
        <f t="shared" si="28"/>
        <v>44186.400000000001</v>
      </c>
      <c r="IR18" s="103"/>
      <c r="IS18" s="15">
        <v>11</v>
      </c>
      <c r="IT18" s="68">
        <v>925.3</v>
      </c>
      <c r="IU18" s="238">
        <v>45135</v>
      </c>
      <c r="IV18" s="68">
        <v>925.3</v>
      </c>
      <c r="IW18" s="69" t="s">
        <v>719</v>
      </c>
      <c r="IX18" s="70">
        <v>51</v>
      </c>
      <c r="IY18" s="230">
        <f t="shared" si="29"/>
        <v>47190.299999999996</v>
      </c>
      <c r="IZ18" s="91"/>
      <c r="JA18" s="68"/>
      <c r="JB18" s="103"/>
      <c r="JC18" s="15">
        <v>11</v>
      </c>
      <c r="JD18" s="91">
        <v>900.83</v>
      </c>
      <c r="JE18" s="238">
        <v>45136</v>
      </c>
      <c r="JF18" s="91">
        <v>900.83</v>
      </c>
      <c r="JG18" s="69" t="s">
        <v>729</v>
      </c>
      <c r="JH18" s="70">
        <v>51</v>
      </c>
      <c r="JI18" s="363">
        <f t="shared" si="30"/>
        <v>45942.33</v>
      </c>
      <c r="JJ18" s="102"/>
      <c r="JL18" s="103"/>
      <c r="JM18" s="15">
        <v>11</v>
      </c>
      <c r="JN18" s="91"/>
      <c r="JO18" s="231"/>
      <c r="JP18" s="91"/>
      <c r="JQ18" s="69"/>
      <c r="JR18" s="70"/>
      <c r="JS18" s="363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3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3">
        <f t="shared" si="33"/>
        <v>0</v>
      </c>
      <c r="KP18" s="103"/>
      <c r="KQ18" s="15">
        <v>11</v>
      </c>
      <c r="KR18" s="68"/>
      <c r="KS18" s="238"/>
      <c r="KT18" s="68"/>
      <c r="KU18" s="563"/>
      <c r="KV18" s="564"/>
      <c r="KW18" s="363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3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3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3">
        <f t="shared" si="37"/>
        <v>0</v>
      </c>
      <c r="MB18" s="363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62"/>
      <c r="SL18" s="640"/>
      <c r="SM18" s="562"/>
      <c r="SN18" s="693"/>
      <c r="SO18" s="564"/>
      <c r="SP18" s="56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100730451</v>
      </c>
      <c r="E19" s="131">
        <f t="shared" si="67"/>
        <v>45125</v>
      </c>
      <c r="F19" s="85">
        <f t="shared" si="67"/>
        <v>18498.009999999998</v>
      </c>
      <c r="G19" s="72">
        <f t="shared" si="67"/>
        <v>21</v>
      </c>
      <c r="H19" s="48">
        <f t="shared" si="67"/>
        <v>18762.900000000001</v>
      </c>
      <c r="I19" s="102">
        <f t="shared" si="67"/>
        <v>-264.89000000000306</v>
      </c>
      <c r="L19" s="93"/>
      <c r="M19" s="15">
        <v>12</v>
      </c>
      <c r="N19" s="68">
        <v>956.17</v>
      </c>
      <c r="O19" s="238">
        <v>45108</v>
      </c>
      <c r="P19" s="68">
        <v>956.17</v>
      </c>
      <c r="Q19" s="69" t="s">
        <v>297</v>
      </c>
      <c r="R19" s="70">
        <v>45</v>
      </c>
      <c r="S19" s="363">
        <f t="shared" si="8"/>
        <v>43027.65</v>
      </c>
      <c r="V19" s="93"/>
      <c r="W19" s="15">
        <v>12</v>
      </c>
      <c r="X19" s="565">
        <v>899.5</v>
      </c>
      <c r="Y19" s="646">
        <v>45111</v>
      </c>
      <c r="Z19" s="565">
        <v>899.5</v>
      </c>
      <c r="AA19" s="563" t="s">
        <v>504</v>
      </c>
      <c r="AB19" s="564">
        <v>42</v>
      </c>
      <c r="AC19" s="363">
        <f t="shared" si="9"/>
        <v>37779</v>
      </c>
      <c r="AF19" s="103"/>
      <c r="AG19" s="15">
        <v>12</v>
      </c>
      <c r="AH19" s="565">
        <v>887.7</v>
      </c>
      <c r="AI19" s="640">
        <v>45111</v>
      </c>
      <c r="AJ19" s="565">
        <v>887.7</v>
      </c>
      <c r="AK19" s="693" t="s">
        <v>502</v>
      </c>
      <c r="AL19" s="564">
        <v>45</v>
      </c>
      <c r="AM19" s="363">
        <f t="shared" si="10"/>
        <v>39946.5</v>
      </c>
      <c r="AP19" s="103"/>
      <c r="AQ19" s="15">
        <v>12</v>
      </c>
      <c r="AR19" s="562">
        <v>863.6</v>
      </c>
      <c r="AS19" s="640">
        <v>45111</v>
      </c>
      <c r="AT19" s="562">
        <v>863.6</v>
      </c>
      <c r="AU19" s="693" t="s">
        <v>511</v>
      </c>
      <c r="AV19" s="564">
        <v>45</v>
      </c>
      <c r="AW19" s="363">
        <f t="shared" si="11"/>
        <v>38862</v>
      </c>
      <c r="AZ19" s="103"/>
      <c r="BA19" s="15">
        <v>12</v>
      </c>
      <c r="BB19" s="91">
        <v>904.5</v>
      </c>
      <c r="BC19" s="231">
        <v>45114</v>
      </c>
      <c r="BD19" s="91">
        <v>904.5</v>
      </c>
      <c r="BE19" s="94" t="s">
        <v>532</v>
      </c>
      <c r="BF19" s="70">
        <v>46</v>
      </c>
      <c r="BG19" s="363">
        <f t="shared" si="12"/>
        <v>41607</v>
      </c>
      <c r="BJ19" s="103"/>
      <c r="BK19" s="15">
        <v>12</v>
      </c>
      <c r="BL19" s="91">
        <v>935.3</v>
      </c>
      <c r="BM19" s="231">
        <v>45115</v>
      </c>
      <c r="BN19" s="91">
        <v>935.3</v>
      </c>
      <c r="BO19" s="94" t="s">
        <v>542</v>
      </c>
      <c r="BP19" s="70">
        <v>46</v>
      </c>
      <c r="BQ19" s="440">
        <f t="shared" si="13"/>
        <v>43023.799999999996</v>
      </c>
      <c r="BR19" s="363"/>
      <c r="BT19" s="103"/>
      <c r="BU19" s="15">
        <v>12</v>
      </c>
      <c r="BV19" s="91">
        <v>916.3</v>
      </c>
      <c r="BW19" s="275">
        <v>45113</v>
      </c>
      <c r="BX19" s="562">
        <v>916.3</v>
      </c>
      <c r="BY19" s="505" t="s">
        <v>522</v>
      </c>
      <c r="BZ19" s="276">
        <v>45</v>
      </c>
      <c r="CA19" s="363">
        <f t="shared" si="5"/>
        <v>41233.5</v>
      </c>
      <c r="CD19" s="202"/>
      <c r="CE19" s="15">
        <v>12</v>
      </c>
      <c r="CF19" s="91">
        <v>929</v>
      </c>
      <c r="CG19" s="275">
        <v>45115</v>
      </c>
      <c r="CH19" s="91">
        <v>929</v>
      </c>
      <c r="CI19" s="277" t="s">
        <v>547</v>
      </c>
      <c r="CJ19" s="276">
        <v>46</v>
      </c>
      <c r="CK19" s="230">
        <f t="shared" si="14"/>
        <v>42734</v>
      </c>
      <c r="CN19" s="378"/>
      <c r="CO19" s="15">
        <v>12</v>
      </c>
      <c r="CP19" s="562">
        <v>906.3</v>
      </c>
      <c r="CQ19" s="586">
        <v>45118</v>
      </c>
      <c r="CR19" s="562">
        <v>906.3</v>
      </c>
      <c r="CS19" s="587" t="s">
        <v>564</v>
      </c>
      <c r="CT19" s="276">
        <v>47</v>
      </c>
      <c r="CU19" s="368">
        <f t="shared" si="58"/>
        <v>42596.1</v>
      </c>
      <c r="CX19" s="103"/>
      <c r="CY19" s="15">
        <v>12</v>
      </c>
      <c r="CZ19" s="562">
        <v>830</v>
      </c>
      <c r="DA19" s="640">
        <v>45118</v>
      </c>
      <c r="DB19" s="562">
        <v>830</v>
      </c>
      <c r="DC19" s="693" t="s">
        <v>569</v>
      </c>
      <c r="DD19" s="564">
        <v>42</v>
      </c>
      <c r="DE19" s="363">
        <f t="shared" si="15"/>
        <v>34860</v>
      </c>
      <c r="DH19" s="103"/>
      <c r="DI19" s="15">
        <v>12</v>
      </c>
      <c r="DJ19" s="562">
        <v>861.8</v>
      </c>
      <c r="DK19" s="586">
        <v>45118</v>
      </c>
      <c r="DL19" s="562">
        <v>861.8</v>
      </c>
      <c r="DM19" s="587" t="s">
        <v>567</v>
      </c>
      <c r="DN19" s="588">
        <v>0</v>
      </c>
      <c r="DO19" s="368">
        <f t="shared" si="16"/>
        <v>0</v>
      </c>
      <c r="DR19" s="103"/>
      <c r="DS19" s="15">
        <v>12</v>
      </c>
      <c r="DT19" s="562">
        <v>919</v>
      </c>
      <c r="DU19" s="586">
        <v>45119</v>
      </c>
      <c r="DV19" s="562">
        <v>919</v>
      </c>
      <c r="DW19" s="587" t="s">
        <v>582</v>
      </c>
      <c r="DX19" s="588">
        <v>48</v>
      </c>
      <c r="DY19" s="363">
        <f t="shared" si="17"/>
        <v>44112</v>
      </c>
      <c r="EB19" s="103"/>
      <c r="EC19" s="15">
        <v>12</v>
      </c>
      <c r="ED19" s="68">
        <v>929.9</v>
      </c>
      <c r="EE19" s="238">
        <v>45120</v>
      </c>
      <c r="EF19" s="68">
        <v>929.9</v>
      </c>
      <c r="EG19" s="69" t="s">
        <v>592</v>
      </c>
      <c r="EH19" s="70">
        <v>48</v>
      </c>
      <c r="EI19" s="363">
        <f t="shared" si="18"/>
        <v>44635.199999999997</v>
      </c>
      <c r="EL19" s="103"/>
      <c r="EM19" s="15">
        <v>12</v>
      </c>
      <c r="EN19" s="68">
        <v>901.7</v>
      </c>
      <c r="EO19" s="238">
        <v>45121</v>
      </c>
      <c r="EP19" s="68">
        <v>901.7</v>
      </c>
      <c r="EQ19" s="69" t="s">
        <v>591</v>
      </c>
      <c r="ER19" s="70">
        <v>49</v>
      </c>
      <c r="ES19" s="363">
        <f t="shared" si="19"/>
        <v>44183.3</v>
      </c>
      <c r="EV19" s="103"/>
      <c r="EW19" s="15">
        <v>12</v>
      </c>
      <c r="EX19" s="562">
        <v>907.2</v>
      </c>
      <c r="EY19" s="640">
        <v>45122</v>
      </c>
      <c r="EZ19" s="562">
        <v>907.2</v>
      </c>
      <c r="FA19" s="563" t="s">
        <v>611</v>
      </c>
      <c r="FB19" s="564">
        <v>51</v>
      </c>
      <c r="FC19" s="363">
        <f t="shared" si="20"/>
        <v>46267.200000000004</v>
      </c>
      <c r="FF19" s="103"/>
      <c r="FG19" s="15">
        <v>12</v>
      </c>
      <c r="FH19" s="562">
        <v>894.5</v>
      </c>
      <c r="FI19" s="640">
        <v>45125</v>
      </c>
      <c r="FJ19" s="562">
        <v>894.5</v>
      </c>
      <c r="FK19" s="563" t="s">
        <v>635</v>
      </c>
      <c r="FL19" s="564">
        <v>51</v>
      </c>
      <c r="FM19" s="230">
        <f t="shared" si="21"/>
        <v>45619.5</v>
      </c>
      <c r="FP19" s="103"/>
      <c r="FQ19" s="15">
        <v>12</v>
      </c>
      <c r="FR19" s="562">
        <v>869.5</v>
      </c>
      <c r="FS19" s="231">
        <v>45125</v>
      </c>
      <c r="FT19" s="562">
        <v>869.5</v>
      </c>
      <c r="FU19" s="69" t="s">
        <v>633</v>
      </c>
      <c r="FV19" s="70">
        <v>0</v>
      </c>
      <c r="FW19" s="363">
        <f t="shared" si="22"/>
        <v>0</v>
      </c>
      <c r="FX19" s="70"/>
      <c r="FZ19" s="103"/>
      <c r="GA19" s="15">
        <v>12</v>
      </c>
      <c r="GB19" s="336">
        <v>868.6</v>
      </c>
      <c r="GC19" s="231">
        <v>45126</v>
      </c>
      <c r="GD19" s="336">
        <v>868.6</v>
      </c>
      <c r="GE19" s="94" t="s">
        <v>645</v>
      </c>
      <c r="GF19" s="70">
        <v>51</v>
      </c>
      <c r="GG19" s="363">
        <f t="shared" si="23"/>
        <v>44298.6</v>
      </c>
      <c r="GJ19" s="103"/>
      <c r="GK19" s="15">
        <v>12</v>
      </c>
      <c r="GL19" s="91">
        <v>910.8</v>
      </c>
      <c r="GM19" s="231">
        <v>45127</v>
      </c>
      <c r="GN19" s="91">
        <v>910.8</v>
      </c>
      <c r="GO19" s="94" t="s">
        <v>653</v>
      </c>
      <c r="GP19" s="70">
        <v>51</v>
      </c>
      <c r="GQ19" s="363">
        <f t="shared" si="24"/>
        <v>46450.799999999996</v>
      </c>
      <c r="GT19" s="103"/>
      <c r="GU19" s="15">
        <v>12</v>
      </c>
      <c r="GV19" s="91">
        <v>890.9</v>
      </c>
      <c r="GW19" s="231">
        <v>45128</v>
      </c>
      <c r="GX19" s="91">
        <v>890.9</v>
      </c>
      <c r="GY19" s="94" t="s">
        <v>666</v>
      </c>
      <c r="GZ19" s="70">
        <v>51</v>
      </c>
      <c r="HA19" s="363">
        <f t="shared" si="25"/>
        <v>45435.9</v>
      </c>
      <c r="HD19" s="103"/>
      <c r="HE19" s="15">
        <v>12</v>
      </c>
      <c r="HF19" s="562">
        <v>909</v>
      </c>
      <c r="HG19" s="640">
        <v>45041</v>
      </c>
      <c r="HH19" s="562">
        <v>909</v>
      </c>
      <c r="HI19" s="693" t="s">
        <v>693</v>
      </c>
      <c r="HJ19" s="564">
        <v>0</v>
      </c>
      <c r="HK19" s="363">
        <f t="shared" si="26"/>
        <v>0</v>
      </c>
      <c r="HN19" s="103"/>
      <c r="HO19" s="624">
        <v>12</v>
      </c>
      <c r="HP19" s="562">
        <v>897.2</v>
      </c>
      <c r="HQ19" s="231">
        <v>45132</v>
      </c>
      <c r="HR19" s="562">
        <v>897.2</v>
      </c>
      <c r="HS19" s="278" t="s">
        <v>688</v>
      </c>
      <c r="HT19" s="70">
        <v>51</v>
      </c>
      <c r="HU19" s="230">
        <f t="shared" si="27"/>
        <v>45757.200000000004</v>
      </c>
      <c r="HX19" s="93"/>
      <c r="HY19" s="15">
        <v>12</v>
      </c>
      <c r="HZ19" s="565">
        <v>886.3</v>
      </c>
      <c r="IA19" s="646">
        <v>45133</v>
      </c>
      <c r="IB19" s="565">
        <v>886.3</v>
      </c>
      <c r="IC19" s="563" t="s">
        <v>701</v>
      </c>
      <c r="ID19" s="564">
        <v>51</v>
      </c>
      <c r="IE19" s="363">
        <f t="shared" si="6"/>
        <v>45201.299999999996</v>
      </c>
      <c r="IH19" s="103"/>
      <c r="II19" s="15">
        <v>12</v>
      </c>
      <c r="IJ19" s="68">
        <v>900.8</v>
      </c>
      <c r="IK19" s="238">
        <v>45134</v>
      </c>
      <c r="IL19" s="68">
        <v>900.8</v>
      </c>
      <c r="IM19" s="69" t="s">
        <v>712</v>
      </c>
      <c r="IN19" s="70">
        <v>51</v>
      </c>
      <c r="IO19" s="230">
        <f t="shared" si="28"/>
        <v>45940.799999999996</v>
      </c>
      <c r="IR19" s="103"/>
      <c r="IS19" s="15">
        <v>12</v>
      </c>
      <c r="IT19" s="68">
        <v>934.4</v>
      </c>
      <c r="IU19" s="238">
        <v>45135</v>
      </c>
      <c r="IV19" s="68">
        <v>934.4</v>
      </c>
      <c r="IW19" s="69" t="s">
        <v>719</v>
      </c>
      <c r="IX19" s="70">
        <v>51</v>
      </c>
      <c r="IY19" s="230">
        <f t="shared" si="29"/>
        <v>47654.400000000001</v>
      </c>
      <c r="IZ19" s="91"/>
      <c r="JA19" s="102"/>
      <c r="JB19" s="103"/>
      <c r="JC19" s="15">
        <v>12</v>
      </c>
      <c r="JD19" s="91">
        <v>967.96</v>
      </c>
      <c r="JE19" s="238">
        <v>45136</v>
      </c>
      <c r="JF19" s="562">
        <v>967.96</v>
      </c>
      <c r="JG19" s="69" t="s">
        <v>730</v>
      </c>
      <c r="JH19" s="70">
        <v>51</v>
      </c>
      <c r="JI19" s="363">
        <f t="shared" si="30"/>
        <v>49365.96</v>
      </c>
      <c r="JL19" s="103"/>
      <c r="JM19" s="15">
        <v>12</v>
      </c>
      <c r="JN19" s="91"/>
      <c r="JO19" s="231"/>
      <c r="JP19" s="91"/>
      <c r="JQ19" s="69"/>
      <c r="JR19" s="70"/>
      <c r="JS19" s="363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3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3">
        <f t="shared" si="33"/>
        <v>0</v>
      </c>
      <c r="KP19" s="93"/>
      <c r="KQ19" s="15">
        <v>12</v>
      </c>
      <c r="KR19" s="68"/>
      <c r="KS19" s="238"/>
      <c r="KT19" s="68"/>
      <c r="KU19" s="563"/>
      <c r="KV19" s="564"/>
      <c r="KW19" s="363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3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3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3">
        <f t="shared" si="37"/>
        <v>0</v>
      </c>
      <c r="MB19" s="363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100731540</v>
      </c>
      <c r="E20" s="131">
        <f t="shared" si="68"/>
        <v>45125</v>
      </c>
      <c r="F20" s="85">
        <f t="shared" si="68"/>
        <v>19016.04</v>
      </c>
      <c r="G20" s="72">
        <f t="shared" si="68"/>
        <v>21</v>
      </c>
      <c r="H20" s="48">
        <f t="shared" si="68"/>
        <v>19039.3</v>
      </c>
      <c r="I20" s="102">
        <f t="shared" si="68"/>
        <v>-23.259999999998399</v>
      </c>
      <c r="L20" s="93"/>
      <c r="M20" s="15">
        <v>13</v>
      </c>
      <c r="N20" s="68">
        <v>945.28</v>
      </c>
      <c r="O20" s="238">
        <v>45108</v>
      </c>
      <c r="P20" s="68">
        <v>945.28</v>
      </c>
      <c r="Q20" s="69" t="s">
        <v>303</v>
      </c>
      <c r="R20" s="70">
        <v>45</v>
      </c>
      <c r="S20" s="363">
        <f t="shared" si="8"/>
        <v>42537.599999999999</v>
      </c>
      <c r="V20" s="93"/>
      <c r="W20" s="15">
        <v>13</v>
      </c>
      <c r="X20" s="565">
        <v>807</v>
      </c>
      <c r="Y20" s="646">
        <v>45111</v>
      </c>
      <c r="Z20" s="565">
        <v>807</v>
      </c>
      <c r="AA20" s="563" t="s">
        <v>505</v>
      </c>
      <c r="AB20" s="564">
        <v>42</v>
      </c>
      <c r="AC20" s="363">
        <f t="shared" si="9"/>
        <v>33894</v>
      </c>
      <c r="AF20" s="103"/>
      <c r="AG20" s="15">
        <v>13</v>
      </c>
      <c r="AH20" s="562">
        <v>909.9</v>
      </c>
      <c r="AI20" s="640">
        <v>45111</v>
      </c>
      <c r="AJ20" s="562">
        <v>909.9</v>
      </c>
      <c r="AK20" s="693" t="s">
        <v>502</v>
      </c>
      <c r="AL20" s="564">
        <v>45</v>
      </c>
      <c r="AM20" s="363">
        <f t="shared" si="10"/>
        <v>40945.5</v>
      </c>
      <c r="AP20" s="103"/>
      <c r="AQ20" s="15">
        <v>13</v>
      </c>
      <c r="AR20" s="562">
        <v>915.3</v>
      </c>
      <c r="AS20" s="640">
        <v>45112</v>
      </c>
      <c r="AT20" s="562">
        <v>915.3</v>
      </c>
      <c r="AU20" s="693" t="s">
        <v>516</v>
      </c>
      <c r="AV20" s="564">
        <v>45</v>
      </c>
      <c r="AW20" s="363">
        <f t="shared" si="11"/>
        <v>41188.5</v>
      </c>
      <c r="AZ20" s="103"/>
      <c r="BA20" s="15">
        <v>13</v>
      </c>
      <c r="BB20" s="91">
        <v>938.9</v>
      </c>
      <c r="BC20" s="231">
        <v>45114</v>
      </c>
      <c r="BD20" s="91">
        <v>938.9</v>
      </c>
      <c r="BE20" s="94" t="s">
        <v>532</v>
      </c>
      <c r="BF20" s="70">
        <v>46</v>
      </c>
      <c r="BG20" s="363">
        <f t="shared" si="12"/>
        <v>43189.4</v>
      </c>
      <c r="BJ20" s="103"/>
      <c r="BK20" s="15">
        <v>13</v>
      </c>
      <c r="BL20" s="91">
        <v>901.7</v>
      </c>
      <c r="BM20" s="231">
        <v>45114</v>
      </c>
      <c r="BN20" s="91">
        <v>901.7</v>
      </c>
      <c r="BO20" s="94" t="s">
        <v>538</v>
      </c>
      <c r="BP20" s="70">
        <v>46</v>
      </c>
      <c r="BQ20" s="440">
        <f t="shared" si="13"/>
        <v>41478.200000000004</v>
      </c>
      <c r="BR20" s="363"/>
      <c r="BT20" s="103"/>
      <c r="BU20" s="15">
        <v>13</v>
      </c>
      <c r="BV20" s="91">
        <v>928</v>
      </c>
      <c r="BW20" s="275">
        <v>45113</v>
      </c>
      <c r="BX20" s="562">
        <v>928</v>
      </c>
      <c r="BY20" s="505" t="s">
        <v>522</v>
      </c>
      <c r="BZ20" s="276">
        <v>45</v>
      </c>
      <c r="CA20" s="363">
        <f t="shared" si="5"/>
        <v>41760</v>
      </c>
      <c r="CD20" s="202"/>
      <c r="CE20" s="15">
        <v>13</v>
      </c>
      <c r="CF20" s="91">
        <v>906.3</v>
      </c>
      <c r="CG20" s="275">
        <v>45115</v>
      </c>
      <c r="CH20" s="91">
        <v>906.3</v>
      </c>
      <c r="CI20" s="277" t="s">
        <v>547</v>
      </c>
      <c r="CJ20" s="276">
        <v>46</v>
      </c>
      <c r="CK20" s="230">
        <f t="shared" si="14"/>
        <v>41689.799999999996</v>
      </c>
      <c r="CN20" s="378"/>
      <c r="CO20" s="15">
        <v>13</v>
      </c>
      <c r="CP20" s="562">
        <v>922.6</v>
      </c>
      <c r="CQ20" s="586">
        <v>45118</v>
      </c>
      <c r="CR20" s="562">
        <v>922.6</v>
      </c>
      <c r="CS20" s="587" t="s">
        <v>564</v>
      </c>
      <c r="CT20" s="276">
        <v>47</v>
      </c>
      <c r="CU20" s="368">
        <f t="shared" si="58"/>
        <v>43362.200000000004</v>
      </c>
      <c r="CX20" s="103"/>
      <c r="CY20" s="15">
        <v>13</v>
      </c>
      <c r="CZ20" s="562">
        <v>504.5</v>
      </c>
      <c r="DA20" s="640">
        <v>45118</v>
      </c>
      <c r="DB20" s="562">
        <v>504.5</v>
      </c>
      <c r="DC20" s="693" t="s">
        <v>569</v>
      </c>
      <c r="DD20" s="564">
        <v>42</v>
      </c>
      <c r="DE20" s="363">
        <f t="shared" si="15"/>
        <v>21189</v>
      </c>
      <c r="DH20" s="103"/>
      <c r="DI20" s="15">
        <v>13</v>
      </c>
      <c r="DJ20" s="562">
        <v>910.8</v>
      </c>
      <c r="DK20" s="586">
        <v>45118</v>
      </c>
      <c r="DL20" s="562">
        <v>910.8</v>
      </c>
      <c r="DM20" s="587" t="s">
        <v>567</v>
      </c>
      <c r="DN20" s="588">
        <v>0</v>
      </c>
      <c r="DO20" s="368">
        <f t="shared" si="16"/>
        <v>0</v>
      </c>
      <c r="DR20" s="103"/>
      <c r="DS20" s="15">
        <v>13</v>
      </c>
      <c r="DT20" s="562">
        <v>940.7</v>
      </c>
      <c r="DU20" s="586">
        <v>45119</v>
      </c>
      <c r="DV20" s="562">
        <v>940.7</v>
      </c>
      <c r="DW20" s="587" t="s">
        <v>582</v>
      </c>
      <c r="DX20" s="588">
        <v>48</v>
      </c>
      <c r="DY20" s="363">
        <f t="shared" si="17"/>
        <v>45153.600000000006</v>
      </c>
      <c r="EB20" s="103"/>
      <c r="EC20" s="15">
        <v>13</v>
      </c>
      <c r="ED20" s="68">
        <v>876.3</v>
      </c>
      <c r="EE20" s="238">
        <v>45120</v>
      </c>
      <c r="EF20" s="68">
        <v>876.3</v>
      </c>
      <c r="EG20" s="69" t="s">
        <v>592</v>
      </c>
      <c r="EH20" s="70">
        <v>48</v>
      </c>
      <c r="EI20" s="363">
        <f t="shared" si="18"/>
        <v>42062.399999999994</v>
      </c>
      <c r="EL20" s="103"/>
      <c r="EM20" s="15">
        <v>13</v>
      </c>
      <c r="EN20" s="68">
        <v>907.2</v>
      </c>
      <c r="EO20" s="238">
        <v>45121</v>
      </c>
      <c r="EP20" s="68">
        <v>907.2</v>
      </c>
      <c r="EQ20" s="69" t="s">
        <v>591</v>
      </c>
      <c r="ER20" s="70">
        <v>49</v>
      </c>
      <c r="ES20" s="363">
        <f t="shared" si="19"/>
        <v>44452.800000000003</v>
      </c>
      <c r="EV20" s="103"/>
      <c r="EW20" s="15">
        <v>13</v>
      </c>
      <c r="EX20" s="562">
        <v>875</v>
      </c>
      <c r="EY20" s="640">
        <v>45122</v>
      </c>
      <c r="EZ20" s="562">
        <v>875</v>
      </c>
      <c r="FA20" s="563" t="s">
        <v>611</v>
      </c>
      <c r="FB20" s="564">
        <v>51</v>
      </c>
      <c r="FC20" s="363">
        <f t="shared" si="20"/>
        <v>44625</v>
      </c>
      <c r="FF20" s="103"/>
      <c r="FG20" s="15">
        <v>13</v>
      </c>
      <c r="FH20" s="562">
        <v>917.6</v>
      </c>
      <c r="FI20" s="640">
        <v>45125</v>
      </c>
      <c r="FJ20" s="562">
        <v>917.6</v>
      </c>
      <c r="FK20" s="563" t="s">
        <v>635</v>
      </c>
      <c r="FL20" s="564">
        <v>51</v>
      </c>
      <c r="FM20" s="230">
        <f t="shared" si="21"/>
        <v>46797.599999999999</v>
      </c>
      <c r="FP20" s="103"/>
      <c r="FQ20" s="15">
        <v>13</v>
      </c>
      <c r="FR20" s="562">
        <v>933.5</v>
      </c>
      <c r="FS20" s="231">
        <v>45125</v>
      </c>
      <c r="FT20" s="562">
        <v>933.5</v>
      </c>
      <c r="FU20" s="69" t="s">
        <v>629</v>
      </c>
      <c r="FV20" s="70">
        <v>0</v>
      </c>
      <c r="FW20" s="363">
        <f t="shared" si="22"/>
        <v>0</v>
      </c>
      <c r="FX20" s="70"/>
      <c r="FZ20" s="103"/>
      <c r="GA20" s="15">
        <v>13</v>
      </c>
      <c r="GB20" s="336">
        <v>886.8</v>
      </c>
      <c r="GC20" s="231">
        <v>45126</v>
      </c>
      <c r="GD20" s="336">
        <v>886.8</v>
      </c>
      <c r="GE20" s="94" t="s">
        <v>645</v>
      </c>
      <c r="GF20" s="70">
        <v>51</v>
      </c>
      <c r="GG20" s="363">
        <f t="shared" si="23"/>
        <v>45226.799999999996</v>
      </c>
      <c r="GJ20" s="103"/>
      <c r="GK20" s="15">
        <v>13</v>
      </c>
      <c r="GL20" s="91">
        <v>886.3</v>
      </c>
      <c r="GM20" s="231">
        <v>45127</v>
      </c>
      <c r="GN20" s="91">
        <v>886.3</v>
      </c>
      <c r="GO20" s="94" t="s">
        <v>653</v>
      </c>
      <c r="GP20" s="70">
        <v>51</v>
      </c>
      <c r="GQ20" s="363">
        <f t="shared" si="24"/>
        <v>45201.299999999996</v>
      </c>
      <c r="GT20" s="103"/>
      <c r="GU20" s="15">
        <v>13</v>
      </c>
      <c r="GV20" s="91">
        <v>868.2</v>
      </c>
      <c r="GW20" s="231">
        <v>45128</v>
      </c>
      <c r="GX20" s="91">
        <v>868.2</v>
      </c>
      <c r="GY20" s="94" t="s">
        <v>666</v>
      </c>
      <c r="GZ20" s="70">
        <v>51</v>
      </c>
      <c r="HA20" s="363">
        <f t="shared" si="25"/>
        <v>44278.200000000004</v>
      </c>
      <c r="HD20" s="103"/>
      <c r="HE20" s="15">
        <v>13</v>
      </c>
      <c r="HF20" s="562">
        <v>896.3</v>
      </c>
      <c r="HG20" s="640">
        <v>45041</v>
      </c>
      <c r="HH20" s="562">
        <v>896.3</v>
      </c>
      <c r="HI20" s="693" t="s">
        <v>693</v>
      </c>
      <c r="HJ20" s="564">
        <v>0</v>
      </c>
      <c r="HK20" s="230">
        <f t="shared" si="26"/>
        <v>0</v>
      </c>
      <c r="HN20" s="103"/>
      <c r="HO20" s="624">
        <v>13</v>
      </c>
      <c r="HP20" s="562">
        <v>865.4</v>
      </c>
      <c r="HQ20" s="231">
        <v>45132</v>
      </c>
      <c r="HR20" s="562">
        <v>865.4</v>
      </c>
      <c r="HS20" s="278" t="s">
        <v>688</v>
      </c>
      <c r="HT20" s="70">
        <v>51</v>
      </c>
      <c r="HU20" s="230">
        <f t="shared" si="27"/>
        <v>44135.4</v>
      </c>
      <c r="HX20" s="93"/>
      <c r="HY20" s="15">
        <v>13</v>
      </c>
      <c r="HZ20" s="565">
        <v>899.9</v>
      </c>
      <c r="IA20" s="646">
        <v>45133</v>
      </c>
      <c r="IB20" s="565">
        <v>899.9</v>
      </c>
      <c r="IC20" s="563" t="s">
        <v>701</v>
      </c>
      <c r="ID20" s="564">
        <v>51</v>
      </c>
      <c r="IE20" s="363">
        <f t="shared" si="6"/>
        <v>45894.9</v>
      </c>
      <c r="IH20" s="103"/>
      <c r="II20" s="15">
        <v>13</v>
      </c>
      <c r="IJ20" s="68">
        <v>866.4</v>
      </c>
      <c r="IK20" s="238">
        <v>45134</v>
      </c>
      <c r="IL20" s="68">
        <v>866.4</v>
      </c>
      <c r="IM20" s="69" t="s">
        <v>712</v>
      </c>
      <c r="IN20" s="70">
        <v>51</v>
      </c>
      <c r="IO20" s="230">
        <f t="shared" si="28"/>
        <v>44186.400000000001</v>
      </c>
      <c r="IR20" s="103"/>
      <c r="IS20" s="15">
        <v>13</v>
      </c>
      <c r="IT20" s="68">
        <v>899</v>
      </c>
      <c r="IU20" s="238">
        <v>45135</v>
      </c>
      <c r="IV20" s="68">
        <v>899</v>
      </c>
      <c r="IW20" s="69" t="s">
        <v>719</v>
      </c>
      <c r="IX20" s="70">
        <v>51</v>
      </c>
      <c r="IY20" s="230">
        <f t="shared" si="29"/>
        <v>45849</v>
      </c>
      <c r="IZ20" s="91"/>
      <c r="JB20" s="103"/>
      <c r="JC20" s="15">
        <v>13</v>
      </c>
      <c r="JD20" s="91">
        <v>950.72</v>
      </c>
      <c r="JE20" s="238">
        <v>45136</v>
      </c>
      <c r="JF20" s="91">
        <v>950.72</v>
      </c>
      <c r="JG20" s="69" t="s">
        <v>730</v>
      </c>
      <c r="JH20" s="70">
        <v>51</v>
      </c>
      <c r="JI20" s="363">
        <f t="shared" si="30"/>
        <v>48486.720000000001</v>
      </c>
      <c r="JL20" s="103"/>
      <c r="JM20" s="15">
        <v>13</v>
      </c>
      <c r="JN20" s="91"/>
      <c r="JO20" s="231"/>
      <c r="JP20" s="91"/>
      <c r="JQ20" s="69"/>
      <c r="JR20" s="70"/>
      <c r="JS20" s="363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3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3">
        <f t="shared" si="33"/>
        <v>0</v>
      </c>
      <c r="KP20" s="93"/>
      <c r="KQ20" s="15">
        <v>13</v>
      </c>
      <c r="KR20" s="68"/>
      <c r="KS20" s="238"/>
      <c r="KT20" s="68"/>
      <c r="KU20" s="563"/>
      <c r="KV20" s="564"/>
      <c r="KW20" s="363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3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3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3">
        <f t="shared" si="37"/>
        <v>0</v>
      </c>
      <c r="MB20" s="363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100792697</v>
      </c>
      <c r="E21" s="131">
        <f t="shared" si="69"/>
        <v>45126</v>
      </c>
      <c r="F21" s="85">
        <f t="shared" si="69"/>
        <v>18928.48</v>
      </c>
      <c r="G21" s="72">
        <f t="shared" si="69"/>
        <v>21</v>
      </c>
      <c r="H21" s="48">
        <f t="shared" si="69"/>
        <v>18991.400000000001</v>
      </c>
      <c r="I21" s="102">
        <f t="shared" si="69"/>
        <v>-62.920000000001892</v>
      </c>
      <c r="L21" s="93"/>
      <c r="M21" s="15">
        <v>14</v>
      </c>
      <c r="N21" s="68">
        <v>970.68</v>
      </c>
      <c r="O21" s="238">
        <v>45108</v>
      </c>
      <c r="P21" s="68">
        <v>970.68</v>
      </c>
      <c r="Q21" s="69" t="s">
        <v>304</v>
      </c>
      <c r="R21" s="70">
        <v>45</v>
      </c>
      <c r="S21" s="363">
        <f t="shared" si="8"/>
        <v>43680.6</v>
      </c>
      <c r="V21" s="93"/>
      <c r="W21" s="15">
        <v>14</v>
      </c>
      <c r="X21" s="565">
        <v>688.5</v>
      </c>
      <c r="Y21" s="646">
        <v>45111</v>
      </c>
      <c r="Z21" s="565">
        <v>688.5</v>
      </c>
      <c r="AA21" s="563" t="s">
        <v>505</v>
      </c>
      <c r="AB21" s="564">
        <v>42</v>
      </c>
      <c r="AC21" s="363">
        <f t="shared" si="9"/>
        <v>28917</v>
      </c>
      <c r="AF21" s="103"/>
      <c r="AG21" s="15">
        <v>14</v>
      </c>
      <c r="AH21" s="562">
        <v>915.8</v>
      </c>
      <c r="AI21" s="640">
        <v>45111</v>
      </c>
      <c r="AJ21" s="562">
        <v>915.8</v>
      </c>
      <c r="AK21" s="693" t="s">
        <v>502</v>
      </c>
      <c r="AL21" s="564">
        <v>45</v>
      </c>
      <c r="AM21" s="363">
        <f t="shared" si="10"/>
        <v>41211</v>
      </c>
      <c r="AP21" s="103"/>
      <c r="AQ21" s="15">
        <v>14</v>
      </c>
      <c r="AR21" s="562">
        <v>898.6</v>
      </c>
      <c r="AS21" s="640">
        <v>45111</v>
      </c>
      <c r="AT21" s="562">
        <v>898.6</v>
      </c>
      <c r="AU21" s="693" t="s">
        <v>511</v>
      </c>
      <c r="AV21" s="564">
        <v>45</v>
      </c>
      <c r="AW21" s="363">
        <f t="shared" si="11"/>
        <v>40437</v>
      </c>
      <c r="AZ21" s="103"/>
      <c r="BA21" s="15">
        <v>14</v>
      </c>
      <c r="BB21" s="91">
        <v>880</v>
      </c>
      <c r="BC21" s="231">
        <v>45114</v>
      </c>
      <c r="BD21" s="91">
        <v>880</v>
      </c>
      <c r="BE21" s="94" t="s">
        <v>532</v>
      </c>
      <c r="BF21" s="70">
        <v>46</v>
      </c>
      <c r="BG21" s="363">
        <f t="shared" si="12"/>
        <v>40480</v>
      </c>
      <c r="BJ21" s="103"/>
      <c r="BK21" s="15">
        <v>14</v>
      </c>
      <c r="BL21" s="91">
        <v>911.7</v>
      </c>
      <c r="BM21" s="231">
        <v>45115</v>
      </c>
      <c r="BN21" s="91">
        <v>911.7</v>
      </c>
      <c r="BO21" s="94" t="s">
        <v>548</v>
      </c>
      <c r="BP21" s="70">
        <v>46</v>
      </c>
      <c r="BQ21" s="440">
        <f t="shared" si="13"/>
        <v>41938.200000000004</v>
      </c>
      <c r="BR21" s="363"/>
      <c r="BT21" s="103"/>
      <c r="BU21" s="15">
        <v>14</v>
      </c>
      <c r="BV21" s="91">
        <v>910.8</v>
      </c>
      <c r="BW21" s="275">
        <v>45113</v>
      </c>
      <c r="BX21" s="562">
        <v>910.8</v>
      </c>
      <c r="BY21" s="505" t="s">
        <v>522</v>
      </c>
      <c r="BZ21" s="276">
        <v>45</v>
      </c>
      <c r="CA21" s="363">
        <f t="shared" si="5"/>
        <v>40986</v>
      </c>
      <c r="CD21" s="202"/>
      <c r="CE21" s="15">
        <v>14</v>
      </c>
      <c r="CF21" s="91">
        <v>898.1</v>
      </c>
      <c r="CG21" s="275">
        <v>45115</v>
      </c>
      <c r="CH21" s="91">
        <v>898.1</v>
      </c>
      <c r="CI21" s="277" t="s">
        <v>547</v>
      </c>
      <c r="CJ21" s="276">
        <v>46</v>
      </c>
      <c r="CK21" s="230">
        <f t="shared" si="14"/>
        <v>41312.6</v>
      </c>
      <c r="CN21" s="378"/>
      <c r="CO21" s="15">
        <v>14</v>
      </c>
      <c r="CP21" s="562">
        <v>901.3</v>
      </c>
      <c r="CQ21" s="586">
        <v>45118</v>
      </c>
      <c r="CR21" s="562">
        <v>901.3</v>
      </c>
      <c r="CS21" s="587" t="s">
        <v>564</v>
      </c>
      <c r="CT21" s="276">
        <v>47</v>
      </c>
      <c r="CU21" s="368">
        <f t="shared" si="58"/>
        <v>42361.1</v>
      </c>
      <c r="CX21" s="103"/>
      <c r="CY21" s="15">
        <v>14</v>
      </c>
      <c r="CZ21" s="562">
        <v>839</v>
      </c>
      <c r="DA21" s="640">
        <v>45118</v>
      </c>
      <c r="DB21" s="562">
        <v>839</v>
      </c>
      <c r="DC21" s="693" t="s">
        <v>569</v>
      </c>
      <c r="DD21" s="564">
        <v>42</v>
      </c>
      <c r="DE21" s="363">
        <f t="shared" si="15"/>
        <v>35238</v>
      </c>
      <c r="DH21" s="103"/>
      <c r="DI21" s="15">
        <v>14</v>
      </c>
      <c r="DJ21" s="562">
        <v>939.8</v>
      </c>
      <c r="DK21" s="586">
        <v>45118</v>
      </c>
      <c r="DL21" s="562">
        <v>939.8</v>
      </c>
      <c r="DM21" s="587" t="s">
        <v>567</v>
      </c>
      <c r="DN21" s="588">
        <v>0</v>
      </c>
      <c r="DO21" s="368">
        <f t="shared" si="16"/>
        <v>0</v>
      </c>
      <c r="DR21" s="103"/>
      <c r="DS21" s="15">
        <v>14</v>
      </c>
      <c r="DT21" s="562">
        <v>873.6</v>
      </c>
      <c r="DU21" s="586">
        <v>45119</v>
      </c>
      <c r="DV21" s="562">
        <v>873.6</v>
      </c>
      <c r="DW21" s="587" t="s">
        <v>582</v>
      </c>
      <c r="DX21" s="588">
        <v>48</v>
      </c>
      <c r="DY21" s="363">
        <f t="shared" si="17"/>
        <v>41932.800000000003</v>
      </c>
      <c r="EB21" s="103"/>
      <c r="EC21" s="15">
        <v>14</v>
      </c>
      <c r="ED21" s="68">
        <v>885.4</v>
      </c>
      <c r="EE21" s="238">
        <v>45120</v>
      </c>
      <c r="EF21" s="68">
        <v>885.4</v>
      </c>
      <c r="EG21" s="69" t="s">
        <v>592</v>
      </c>
      <c r="EH21" s="70">
        <v>48</v>
      </c>
      <c r="EI21" s="363">
        <f t="shared" si="18"/>
        <v>42499.199999999997</v>
      </c>
      <c r="EL21" s="103"/>
      <c r="EM21" s="15">
        <v>14</v>
      </c>
      <c r="EN21" s="68">
        <v>939.8</v>
      </c>
      <c r="EO21" s="238">
        <v>45121</v>
      </c>
      <c r="EP21" s="68">
        <v>939.8</v>
      </c>
      <c r="EQ21" s="69" t="s">
        <v>591</v>
      </c>
      <c r="ER21" s="70">
        <v>49</v>
      </c>
      <c r="ES21" s="363">
        <f t="shared" si="19"/>
        <v>46050.2</v>
      </c>
      <c r="EV21" s="103"/>
      <c r="EW21" s="15">
        <v>14</v>
      </c>
      <c r="EX21" s="562">
        <v>901.7</v>
      </c>
      <c r="EY21" s="640">
        <v>45122</v>
      </c>
      <c r="EZ21" s="562">
        <v>901.7</v>
      </c>
      <c r="FA21" s="563" t="s">
        <v>611</v>
      </c>
      <c r="FB21" s="564">
        <v>51</v>
      </c>
      <c r="FC21" s="363">
        <f t="shared" si="20"/>
        <v>45986.700000000004</v>
      </c>
      <c r="FF21" s="103"/>
      <c r="FG21" s="15">
        <v>14</v>
      </c>
      <c r="FH21" s="562">
        <v>875.4</v>
      </c>
      <c r="FI21" s="640">
        <v>45125</v>
      </c>
      <c r="FJ21" s="562">
        <v>875.4</v>
      </c>
      <c r="FK21" s="563" t="s">
        <v>635</v>
      </c>
      <c r="FL21" s="564">
        <v>51</v>
      </c>
      <c r="FM21" s="230">
        <f t="shared" si="21"/>
        <v>44645.4</v>
      </c>
      <c r="FP21" s="103"/>
      <c r="FQ21" s="15">
        <v>14</v>
      </c>
      <c r="FR21" s="562">
        <v>899.5</v>
      </c>
      <c r="FS21" s="231">
        <v>45125</v>
      </c>
      <c r="FT21" s="562">
        <v>899.5</v>
      </c>
      <c r="FU21" s="69" t="s">
        <v>639</v>
      </c>
      <c r="FV21" s="70">
        <v>0</v>
      </c>
      <c r="FW21" s="363">
        <f t="shared" si="22"/>
        <v>0</v>
      </c>
      <c r="FX21" s="70"/>
      <c r="FZ21" s="103"/>
      <c r="GA21" s="15">
        <v>14</v>
      </c>
      <c r="GB21" s="336">
        <v>921.7</v>
      </c>
      <c r="GC21" s="231">
        <v>45126</v>
      </c>
      <c r="GD21" s="336">
        <v>921.7</v>
      </c>
      <c r="GE21" s="94" t="s">
        <v>645</v>
      </c>
      <c r="GF21" s="70">
        <v>51</v>
      </c>
      <c r="GG21" s="363">
        <f t="shared" si="23"/>
        <v>47006.700000000004</v>
      </c>
      <c r="GJ21" s="103"/>
      <c r="GK21" s="15">
        <v>14</v>
      </c>
      <c r="GL21" s="91">
        <v>929</v>
      </c>
      <c r="GM21" s="231">
        <v>45127</v>
      </c>
      <c r="GN21" s="91">
        <v>929</v>
      </c>
      <c r="GO21" s="94" t="s">
        <v>653</v>
      </c>
      <c r="GP21" s="70">
        <v>51</v>
      </c>
      <c r="GQ21" s="363">
        <f t="shared" si="24"/>
        <v>47379</v>
      </c>
      <c r="GT21" s="103"/>
      <c r="GU21" s="15">
        <v>14</v>
      </c>
      <c r="GV21" s="91">
        <v>889</v>
      </c>
      <c r="GW21" s="231">
        <v>45128</v>
      </c>
      <c r="GX21" s="91">
        <v>889</v>
      </c>
      <c r="GY21" s="94" t="s">
        <v>666</v>
      </c>
      <c r="GZ21" s="70">
        <v>51</v>
      </c>
      <c r="HA21" s="363">
        <f t="shared" si="25"/>
        <v>45339</v>
      </c>
      <c r="HD21" s="103"/>
      <c r="HE21" s="15">
        <v>14</v>
      </c>
      <c r="HF21" s="562">
        <v>919</v>
      </c>
      <c r="HG21" s="640">
        <v>45132</v>
      </c>
      <c r="HH21" s="562">
        <v>919</v>
      </c>
      <c r="HI21" s="693" t="s">
        <v>692</v>
      </c>
      <c r="HJ21" s="564">
        <v>0</v>
      </c>
      <c r="HK21" s="230">
        <f t="shared" si="26"/>
        <v>0</v>
      </c>
      <c r="HN21" s="103"/>
      <c r="HO21" s="624">
        <v>14</v>
      </c>
      <c r="HP21" s="562">
        <v>938</v>
      </c>
      <c r="HQ21" s="231">
        <v>45132</v>
      </c>
      <c r="HR21" s="562">
        <v>938</v>
      </c>
      <c r="HS21" s="278" t="s">
        <v>688</v>
      </c>
      <c r="HT21" s="70">
        <v>51</v>
      </c>
      <c r="HU21" s="230">
        <f t="shared" si="27"/>
        <v>47838</v>
      </c>
      <c r="HX21" s="93"/>
      <c r="HY21" s="15">
        <v>14</v>
      </c>
      <c r="HZ21" s="565">
        <v>780.2</v>
      </c>
      <c r="IA21" s="646">
        <v>45133</v>
      </c>
      <c r="IB21" s="565">
        <v>780.2</v>
      </c>
      <c r="IC21" s="563" t="s">
        <v>701</v>
      </c>
      <c r="ID21" s="564">
        <v>51</v>
      </c>
      <c r="IE21" s="363">
        <f t="shared" si="6"/>
        <v>39790.200000000004</v>
      </c>
      <c r="IH21" s="103"/>
      <c r="II21" s="15">
        <v>14</v>
      </c>
      <c r="IJ21" s="68">
        <v>872.7</v>
      </c>
      <c r="IK21" s="238">
        <v>45134</v>
      </c>
      <c r="IL21" s="68">
        <v>872.7</v>
      </c>
      <c r="IM21" s="69" t="s">
        <v>712</v>
      </c>
      <c r="IN21" s="70">
        <v>51</v>
      </c>
      <c r="IO21" s="230">
        <f t="shared" si="28"/>
        <v>44507.700000000004</v>
      </c>
      <c r="IR21" s="103"/>
      <c r="IS21" s="15">
        <v>14</v>
      </c>
      <c r="IT21" s="68">
        <v>939.4</v>
      </c>
      <c r="IU21" s="238">
        <v>45135</v>
      </c>
      <c r="IV21" s="68">
        <v>939.4</v>
      </c>
      <c r="IW21" s="69" t="s">
        <v>719</v>
      </c>
      <c r="IX21" s="70">
        <v>51</v>
      </c>
      <c r="IY21" s="230">
        <f t="shared" si="29"/>
        <v>47909.4</v>
      </c>
      <c r="IZ21" s="91"/>
      <c r="JB21" s="103"/>
      <c r="JC21" s="15">
        <v>14</v>
      </c>
      <c r="JD21" s="91">
        <v>928.95</v>
      </c>
      <c r="JE21" s="238">
        <v>45136</v>
      </c>
      <c r="JF21" s="91">
        <v>928.95</v>
      </c>
      <c r="JG21" s="69" t="s">
        <v>726</v>
      </c>
      <c r="JH21" s="70">
        <v>51</v>
      </c>
      <c r="JI21" s="363">
        <f t="shared" si="30"/>
        <v>47376.450000000004</v>
      </c>
      <c r="JL21" s="103"/>
      <c r="JM21" s="15">
        <v>14</v>
      </c>
      <c r="JN21" s="91"/>
      <c r="JO21" s="231"/>
      <c r="JP21" s="91"/>
      <c r="JQ21" s="69"/>
      <c r="JR21" s="70"/>
      <c r="JS21" s="363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3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3">
        <f t="shared" si="33"/>
        <v>0</v>
      </c>
      <c r="KP21" s="93"/>
      <c r="KQ21" s="15">
        <v>14</v>
      </c>
      <c r="KR21" s="68"/>
      <c r="KS21" s="238"/>
      <c r="KT21" s="68"/>
      <c r="KU21" s="563"/>
      <c r="KV21" s="564"/>
      <c r="KW21" s="363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3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3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3">
        <f t="shared" si="37"/>
        <v>0</v>
      </c>
      <c r="MB21" s="363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10845482</v>
      </c>
      <c r="E22" s="131">
        <f t="shared" si="70"/>
        <v>45127</v>
      </c>
      <c r="F22" s="85">
        <f t="shared" si="70"/>
        <v>19001.03</v>
      </c>
      <c r="G22" s="72">
        <f t="shared" si="70"/>
        <v>21</v>
      </c>
      <c r="H22" s="48">
        <f t="shared" si="70"/>
        <v>19038.900000000001</v>
      </c>
      <c r="I22" s="102">
        <f>GP5</f>
        <v>-37.870000000002619</v>
      </c>
      <c r="L22" s="93"/>
      <c r="M22" s="15">
        <v>15</v>
      </c>
      <c r="N22" s="68">
        <v>958.89</v>
      </c>
      <c r="O22" s="238">
        <v>45108</v>
      </c>
      <c r="P22" s="68">
        <v>958.89</v>
      </c>
      <c r="Q22" s="69" t="s">
        <v>304</v>
      </c>
      <c r="R22" s="70">
        <v>45</v>
      </c>
      <c r="S22" s="363">
        <f t="shared" si="8"/>
        <v>43150.05</v>
      </c>
      <c r="V22" s="93"/>
      <c r="W22" s="15">
        <v>15</v>
      </c>
      <c r="X22" s="565">
        <v>898.5</v>
      </c>
      <c r="Y22" s="646">
        <v>45111</v>
      </c>
      <c r="Z22" s="565">
        <v>898.5</v>
      </c>
      <c r="AA22" s="563" t="s">
        <v>505</v>
      </c>
      <c r="AB22" s="564">
        <v>42</v>
      </c>
      <c r="AC22" s="363">
        <f t="shared" si="9"/>
        <v>37737</v>
      </c>
      <c r="AF22" s="103"/>
      <c r="AG22" s="15">
        <v>15</v>
      </c>
      <c r="AH22" s="562">
        <v>911.7</v>
      </c>
      <c r="AI22" s="640">
        <v>45111</v>
      </c>
      <c r="AJ22" s="562">
        <v>911.7</v>
      </c>
      <c r="AK22" s="693" t="s">
        <v>502</v>
      </c>
      <c r="AL22" s="564">
        <v>45</v>
      </c>
      <c r="AM22" s="363">
        <f t="shared" si="10"/>
        <v>41026.5</v>
      </c>
      <c r="AP22" s="103"/>
      <c r="AQ22" s="15">
        <v>15</v>
      </c>
      <c r="AR22" s="562">
        <v>922.1</v>
      </c>
      <c r="AS22" s="640">
        <v>45111</v>
      </c>
      <c r="AT22" s="562">
        <v>922.1</v>
      </c>
      <c r="AU22" s="693" t="s">
        <v>511</v>
      </c>
      <c r="AV22" s="564">
        <v>45</v>
      </c>
      <c r="AW22" s="363">
        <f t="shared" si="11"/>
        <v>41494.5</v>
      </c>
      <c r="AZ22" s="103"/>
      <c r="BA22" s="15">
        <v>15</v>
      </c>
      <c r="BB22" s="91">
        <v>876.3</v>
      </c>
      <c r="BC22" s="231">
        <v>45114</v>
      </c>
      <c r="BD22" s="91">
        <v>876.3</v>
      </c>
      <c r="BE22" s="94" t="s">
        <v>532</v>
      </c>
      <c r="BF22" s="70">
        <v>46</v>
      </c>
      <c r="BG22" s="363">
        <f t="shared" si="12"/>
        <v>40309.799999999996</v>
      </c>
      <c r="BJ22" s="103"/>
      <c r="BK22" s="15">
        <v>15</v>
      </c>
      <c r="BL22" s="91">
        <v>906.3</v>
      </c>
      <c r="BM22" s="231">
        <v>45114</v>
      </c>
      <c r="BN22" s="91">
        <v>906.3</v>
      </c>
      <c r="BO22" s="94" t="s">
        <v>538</v>
      </c>
      <c r="BP22" s="70">
        <v>46</v>
      </c>
      <c r="BQ22" s="440">
        <f t="shared" si="13"/>
        <v>41689.799999999996</v>
      </c>
      <c r="BR22" s="363"/>
      <c r="BT22" s="103"/>
      <c r="BU22" s="15">
        <v>15</v>
      </c>
      <c r="BV22" s="91">
        <v>914.4</v>
      </c>
      <c r="BW22" s="275">
        <v>45113</v>
      </c>
      <c r="BX22" s="562">
        <v>914.4</v>
      </c>
      <c r="BY22" s="505" t="s">
        <v>522</v>
      </c>
      <c r="BZ22" s="276">
        <v>45</v>
      </c>
      <c r="CA22" s="363">
        <f t="shared" si="5"/>
        <v>41148</v>
      </c>
      <c r="CD22" s="202"/>
      <c r="CE22" s="15">
        <v>15</v>
      </c>
      <c r="CF22" s="91">
        <v>884.5</v>
      </c>
      <c r="CG22" s="275">
        <v>45115</v>
      </c>
      <c r="CH22" s="91">
        <v>884.5</v>
      </c>
      <c r="CI22" s="277" t="s">
        <v>547</v>
      </c>
      <c r="CJ22" s="276">
        <v>46</v>
      </c>
      <c r="CK22" s="230">
        <f t="shared" si="14"/>
        <v>40687</v>
      </c>
      <c r="CN22" s="378"/>
      <c r="CO22" s="15">
        <v>15</v>
      </c>
      <c r="CP22" s="565">
        <v>881.8</v>
      </c>
      <c r="CQ22" s="586">
        <v>45118</v>
      </c>
      <c r="CR22" s="565">
        <v>881.8</v>
      </c>
      <c r="CS22" s="587" t="s">
        <v>564</v>
      </c>
      <c r="CT22" s="276">
        <v>47</v>
      </c>
      <c r="CU22" s="368">
        <f t="shared" si="58"/>
        <v>41444.6</v>
      </c>
      <c r="CX22" s="103"/>
      <c r="CY22" s="15">
        <v>15</v>
      </c>
      <c r="CZ22" s="562">
        <v>874.5</v>
      </c>
      <c r="DA22" s="640">
        <v>45118</v>
      </c>
      <c r="DB22" s="562">
        <v>874.5</v>
      </c>
      <c r="DC22" s="693" t="s">
        <v>569</v>
      </c>
      <c r="DD22" s="564">
        <v>42</v>
      </c>
      <c r="DE22" s="363">
        <f t="shared" si="15"/>
        <v>36729</v>
      </c>
      <c r="DH22" s="103"/>
      <c r="DI22" s="15">
        <v>15</v>
      </c>
      <c r="DJ22" s="562">
        <v>907.2</v>
      </c>
      <c r="DK22" s="586">
        <v>45118</v>
      </c>
      <c r="DL22" s="562">
        <v>907.2</v>
      </c>
      <c r="DM22" s="587" t="s">
        <v>567</v>
      </c>
      <c r="DN22" s="588">
        <v>0</v>
      </c>
      <c r="DO22" s="368">
        <f t="shared" si="16"/>
        <v>0</v>
      </c>
      <c r="DR22" s="103"/>
      <c r="DS22" s="15">
        <v>15</v>
      </c>
      <c r="DT22" s="562">
        <v>895.4</v>
      </c>
      <c r="DU22" s="586">
        <v>45119</v>
      </c>
      <c r="DV22" s="562">
        <v>895.4</v>
      </c>
      <c r="DW22" s="587" t="s">
        <v>582</v>
      </c>
      <c r="DX22" s="588">
        <v>48</v>
      </c>
      <c r="DY22" s="363">
        <f t="shared" si="17"/>
        <v>42979.199999999997</v>
      </c>
      <c r="EB22" s="103"/>
      <c r="EC22" s="15">
        <v>15</v>
      </c>
      <c r="ED22" s="68">
        <v>887.2</v>
      </c>
      <c r="EE22" s="238">
        <v>45120</v>
      </c>
      <c r="EF22" s="68">
        <v>887.2</v>
      </c>
      <c r="EG22" s="69" t="s">
        <v>592</v>
      </c>
      <c r="EH22" s="70">
        <v>48</v>
      </c>
      <c r="EI22" s="363">
        <f t="shared" si="18"/>
        <v>42585.600000000006</v>
      </c>
      <c r="EL22" s="103"/>
      <c r="EM22" s="15">
        <v>15</v>
      </c>
      <c r="EN22" s="68">
        <v>881.8</v>
      </c>
      <c r="EO22" s="238">
        <v>45121</v>
      </c>
      <c r="EP22" s="68">
        <v>881.8</v>
      </c>
      <c r="EQ22" s="69" t="s">
        <v>591</v>
      </c>
      <c r="ER22" s="70">
        <v>49</v>
      </c>
      <c r="ES22" s="363">
        <f t="shared" si="19"/>
        <v>43208.2</v>
      </c>
      <c r="EV22" s="103"/>
      <c r="EW22" s="15">
        <v>15</v>
      </c>
      <c r="EX22" s="562">
        <v>904.5</v>
      </c>
      <c r="EY22" s="640">
        <v>45122</v>
      </c>
      <c r="EZ22" s="562">
        <v>904.5</v>
      </c>
      <c r="FA22" s="563" t="s">
        <v>611</v>
      </c>
      <c r="FB22" s="564">
        <v>51</v>
      </c>
      <c r="FC22" s="363">
        <f t="shared" si="20"/>
        <v>46129.5</v>
      </c>
      <c r="FF22" s="103"/>
      <c r="FG22" s="15">
        <v>15</v>
      </c>
      <c r="FH22" s="562">
        <v>906.3</v>
      </c>
      <c r="FI22" s="640">
        <v>45125</v>
      </c>
      <c r="FJ22" s="562">
        <v>906.3</v>
      </c>
      <c r="FK22" s="563" t="s">
        <v>635</v>
      </c>
      <c r="FL22" s="564">
        <v>51</v>
      </c>
      <c r="FM22" s="230">
        <f t="shared" si="21"/>
        <v>46221.299999999996</v>
      </c>
      <c r="FP22" s="103"/>
      <c r="FQ22" s="15">
        <v>15</v>
      </c>
      <c r="FR22" s="562">
        <v>891.3</v>
      </c>
      <c r="FS22" s="231">
        <v>45125</v>
      </c>
      <c r="FT22" s="562">
        <v>891.3</v>
      </c>
      <c r="FU22" s="69" t="s">
        <v>639</v>
      </c>
      <c r="FV22" s="70">
        <v>0</v>
      </c>
      <c r="FW22" s="363">
        <f t="shared" si="22"/>
        <v>0</v>
      </c>
      <c r="FX22" s="70"/>
      <c r="FZ22" s="103"/>
      <c r="GA22" s="15">
        <v>15</v>
      </c>
      <c r="GB22" s="336">
        <v>892.2</v>
      </c>
      <c r="GC22" s="231">
        <v>45126</v>
      </c>
      <c r="GD22" s="336">
        <v>892.2</v>
      </c>
      <c r="GE22" s="94" t="s">
        <v>645</v>
      </c>
      <c r="GF22" s="70">
        <v>51</v>
      </c>
      <c r="GG22" s="363">
        <f t="shared" si="23"/>
        <v>45502.200000000004</v>
      </c>
      <c r="GJ22" s="103"/>
      <c r="GK22" s="15">
        <v>15</v>
      </c>
      <c r="GL22" s="91">
        <v>872.7</v>
      </c>
      <c r="GM22" s="231">
        <v>45127</v>
      </c>
      <c r="GN22" s="91">
        <v>872.7</v>
      </c>
      <c r="GO22" s="94" t="s">
        <v>653</v>
      </c>
      <c r="GP22" s="70">
        <v>51</v>
      </c>
      <c r="GQ22" s="363">
        <f t="shared" si="24"/>
        <v>44507.700000000004</v>
      </c>
      <c r="GT22" s="103"/>
      <c r="GU22" s="15">
        <v>15</v>
      </c>
      <c r="GV22" s="91">
        <v>899</v>
      </c>
      <c r="GW22" s="231">
        <v>45128</v>
      </c>
      <c r="GX22" s="91">
        <v>899</v>
      </c>
      <c r="GY22" s="94" t="s">
        <v>666</v>
      </c>
      <c r="GZ22" s="70">
        <v>51</v>
      </c>
      <c r="HA22" s="363">
        <f t="shared" si="25"/>
        <v>45849</v>
      </c>
      <c r="HD22" s="103"/>
      <c r="HE22" s="15">
        <v>15</v>
      </c>
      <c r="HF22" s="562">
        <v>888.1</v>
      </c>
      <c r="HG22" s="640">
        <v>45132</v>
      </c>
      <c r="HH22" s="562">
        <v>888.1</v>
      </c>
      <c r="HI22" s="693" t="s">
        <v>692</v>
      </c>
      <c r="HJ22" s="564">
        <v>0</v>
      </c>
      <c r="HK22" s="230">
        <f t="shared" si="26"/>
        <v>0</v>
      </c>
      <c r="HN22" s="103"/>
      <c r="HO22" s="624">
        <v>15</v>
      </c>
      <c r="HP22" s="562">
        <v>876.3</v>
      </c>
      <c r="HQ22" s="231">
        <v>45132</v>
      </c>
      <c r="HR22" s="562">
        <v>876.3</v>
      </c>
      <c r="HS22" s="278" t="s">
        <v>688</v>
      </c>
      <c r="HT22" s="70">
        <v>51</v>
      </c>
      <c r="HU22" s="230">
        <f t="shared" si="27"/>
        <v>44691.299999999996</v>
      </c>
      <c r="HX22" s="93"/>
      <c r="HY22" s="15">
        <v>15</v>
      </c>
      <c r="HZ22" s="565">
        <v>870</v>
      </c>
      <c r="IA22" s="646">
        <v>45133</v>
      </c>
      <c r="IB22" s="565">
        <v>870</v>
      </c>
      <c r="IC22" s="563" t="s">
        <v>701</v>
      </c>
      <c r="ID22" s="564">
        <v>51</v>
      </c>
      <c r="IE22" s="363">
        <f t="shared" si="6"/>
        <v>44370</v>
      </c>
      <c r="IH22" s="103"/>
      <c r="II22" s="15">
        <v>15</v>
      </c>
      <c r="IJ22" s="68">
        <v>919.9</v>
      </c>
      <c r="IK22" s="238">
        <v>45134</v>
      </c>
      <c r="IL22" s="68">
        <v>919.9</v>
      </c>
      <c r="IM22" s="69" t="s">
        <v>712</v>
      </c>
      <c r="IN22" s="70">
        <v>51</v>
      </c>
      <c r="IO22" s="230">
        <f t="shared" si="28"/>
        <v>46914.9</v>
      </c>
      <c r="IR22" s="103"/>
      <c r="IS22" s="15">
        <v>15</v>
      </c>
      <c r="IT22" s="68">
        <v>926.2</v>
      </c>
      <c r="IU22" s="238">
        <v>45135</v>
      </c>
      <c r="IV22" s="68">
        <v>926.2</v>
      </c>
      <c r="IW22" s="69" t="s">
        <v>719</v>
      </c>
      <c r="IX22" s="70">
        <v>51</v>
      </c>
      <c r="IY22" s="230">
        <f t="shared" si="29"/>
        <v>47236.200000000004</v>
      </c>
      <c r="IZ22" s="91"/>
      <c r="JB22" s="103"/>
      <c r="JC22" s="15">
        <v>15</v>
      </c>
      <c r="JD22" s="91">
        <v>943.47</v>
      </c>
      <c r="JE22" s="238">
        <v>45136</v>
      </c>
      <c r="JF22" s="91">
        <v>943.47</v>
      </c>
      <c r="JG22" s="69" t="s">
        <v>726</v>
      </c>
      <c r="JH22" s="70">
        <v>51</v>
      </c>
      <c r="JI22" s="363">
        <f t="shared" si="30"/>
        <v>48116.97</v>
      </c>
      <c r="JL22" s="103"/>
      <c r="JM22" s="15">
        <v>15</v>
      </c>
      <c r="JN22" s="91"/>
      <c r="JO22" s="231"/>
      <c r="JP22" s="91"/>
      <c r="JQ22" s="69"/>
      <c r="JR22" s="70"/>
      <c r="JS22" s="363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3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3">
        <f t="shared" si="33"/>
        <v>0</v>
      </c>
      <c r="KP22" s="93"/>
      <c r="KQ22" s="15">
        <v>15</v>
      </c>
      <c r="KR22" s="68"/>
      <c r="KS22" s="238"/>
      <c r="KT22" s="68"/>
      <c r="KU22" s="563"/>
      <c r="KV22" s="564"/>
      <c r="KW22" s="363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3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3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3">
        <f t="shared" si="37"/>
        <v>0</v>
      </c>
      <c r="MB22" s="363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62"/>
      <c r="OG22" s="693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100892507</v>
      </c>
      <c r="E23" s="131">
        <f t="shared" si="71"/>
        <v>45128</v>
      </c>
      <c r="F23" s="85">
        <f t="shared" si="71"/>
        <v>18625.509999999998</v>
      </c>
      <c r="G23" s="72">
        <f t="shared" si="71"/>
        <v>21</v>
      </c>
      <c r="H23" s="48">
        <f t="shared" si="71"/>
        <v>18765.900000000001</v>
      </c>
      <c r="I23" s="102">
        <f>F23-H23</f>
        <v>-140.39000000000306</v>
      </c>
      <c r="L23" s="93"/>
      <c r="M23" s="15">
        <v>16</v>
      </c>
      <c r="N23" s="68">
        <v>943.47</v>
      </c>
      <c r="O23" s="238">
        <v>45108</v>
      </c>
      <c r="P23" s="68">
        <v>943.47</v>
      </c>
      <c r="Q23" s="69" t="s">
        <v>304</v>
      </c>
      <c r="R23" s="70">
        <v>45</v>
      </c>
      <c r="S23" s="363">
        <f t="shared" si="8"/>
        <v>42456.15</v>
      </c>
      <c r="V23" s="93"/>
      <c r="W23" s="15">
        <v>16</v>
      </c>
      <c r="X23" s="565">
        <v>838</v>
      </c>
      <c r="Y23" s="646">
        <v>45111</v>
      </c>
      <c r="Z23" s="565">
        <v>838</v>
      </c>
      <c r="AA23" s="563" t="s">
        <v>505</v>
      </c>
      <c r="AB23" s="564">
        <v>42</v>
      </c>
      <c r="AC23" s="363">
        <f t="shared" si="9"/>
        <v>35196</v>
      </c>
      <c r="AF23" s="103"/>
      <c r="AG23" s="15">
        <v>16</v>
      </c>
      <c r="AH23" s="562">
        <v>915.8</v>
      </c>
      <c r="AI23" s="640">
        <v>45111</v>
      </c>
      <c r="AJ23" s="562">
        <v>915.8</v>
      </c>
      <c r="AK23" s="693" t="s">
        <v>502</v>
      </c>
      <c r="AL23" s="564">
        <v>45</v>
      </c>
      <c r="AM23" s="363">
        <f t="shared" si="10"/>
        <v>41211</v>
      </c>
      <c r="AP23" s="103"/>
      <c r="AQ23" s="15">
        <v>16</v>
      </c>
      <c r="AR23" s="562">
        <v>930.3</v>
      </c>
      <c r="AS23" s="640">
        <v>45111</v>
      </c>
      <c r="AT23" s="562">
        <v>930.3</v>
      </c>
      <c r="AU23" s="693" t="s">
        <v>511</v>
      </c>
      <c r="AV23" s="564">
        <v>45</v>
      </c>
      <c r="AW23" s="363">
        <f t="shared" si="11"/>
        <v>41863.5</v>
      </c>
      <c r="AZ23" s="103"/>
      <c r="BA23" s="15">
        <v>16</v>
      </c>
      <c r="BB23" s="91">
        <v>897.2</v>
      </c>
      <c r="BC23" s="231">
        <v>45111</v>
      </c>
      <c r="BD23" s="91">
        <v>897.2</v>
      </c>
      <c r="BE23" s="94" t="s">
        <v>510</v>
      </c>
      <c r="BF23" s="70">
        <v>45</v>
      </c>
      <c r="BG23" s="363">
        <f t="shared" si="12"/>
        <v>40374</v>
      </c>
      <c r="BJ23" s="103"/>
      <c r="BK23" s="15">
        <v>16</v>
      </c>
      <c r="BL23" s="91">
        <v>922.6</v>
      </c>
      <c r="BM23" s="231">
        <v>45115</v>
      </c>
      <c r="BN23" s="91">
        <v>922.6</v>
      </c>
      <c r="BO23" s="94" t="s">
        <v>542</v>
      </c>
      <c r="BP23" s="70">
        <v>46</v>
      </c>
      <c r="BQ23" s="440">
        <f t="shared" si="13"/>
        <v>42439.6</v>
      </c>
      <c r="BR23" s="363"/>
      <c r="BT23" s="103"/>
      <c r="BU23" s="15">
        <v>16</v>
      </c>
      <c r="BV23" s="91">
        <v>924.4</v>
      </c>
      <c r="BW23" s="275">
        <v>45113</v>
      </c>
      <c r="BX23" s="562">
        <v>924.4</v>
      </c>
      <c r="BY23" s="505" t="s">
        <v>522</v>
      </c>
      <c r="BZ23" s="276">
        <v>45</v>
      </c>
      <c r="CA23" s="363">
        <f t="shared" si="5"/>
        <v>41598</v>
      </c>
      <c r="CD23" s="202"/>
      <c r="CE23" s="15">
        <v>16</v>
      </c>
      <c r="CF23" s="91">
        <v>911.7</v>
      </c>
      <c r="CG23" s="275">
        <v>45115</v>
      </c>
      <c r="CH23" s="91">
        <v>911.7</v>
      </c>
      <c r="CI23" s="277" t="s">
        <v>547</v>
      </c>
      <c r="CJ23" s="276">
        <v>46</v>
      </c>
      <c r="CK23" s="230">
        <f t="shared" si="14"/>
        <v>41938.200000000004</v>
      </c>
      <c r="CN23" s="378"/>
      <c r="CO23" s="15">
        <v>16</v>
      </c>
      <c r="CP23" s="562">
        <v>899.5</v>
      </c>
      <c r="CQ23" s="586">
        <v>45118</v>
      </c>
      <c r="CR23" s="562">
        <v>899.5</v>
      </c>
      <c r="CS23" s="587" t="s">
        <v>564</v>
      </c>
      <c r="CT23" s="276">
        <v>47</v>
      </c>
      <c r="CU23" s="368">
        <f t="shared" si="58"/>
        <v>42276.5</v>
      </c>
      <c r="CX23" s="103"/>
      <c r="CY23" s="15">
        <v>16</v>
      </c>
      <c r="CZ23" s="562">
        <v>848.5</v>
      </c>
      <c r="DA23" s="640">
        <v>45118</v>
      </c>
      <c r="DB23" s="562">
        <v>848.5</v>
      </c>
      <c r="DC23" s="693" t="s">
        <v>569</v>
      </c>
      <c r="DD23" s="564">
        <v>42</v>
      </c>
      <c r="DE23" s="363">
        <f t="shared" si="15"/>
        <v>35637</v>
      </c>
      <c r="DH23" s="103"/>
      <c r="DI23" s="15">
        <v>16</v>
      </c>
      <c r="DJ23" s="562">
        <v>922.6</v>
      </c>
      <c r="DK23" s="586">
        <v>45118</v>
      </c>
      <c r="DL23" s="562">
        <v>922.6</v>
      </c>
      <c r="DM23" s="587" t="s">
        <v>567</v>
      </c>
      <c r="DN23" s="588">
        <v>0</v>
      </c>
      <c r="DO23" s="368">
        <f t="shared" si="16"/>
        <v>0</v>
      </c>
      <c r="DR23" s="103"/>
      <c r="DS23" s="15">
        <v>16</v>
      </c>
      <c r="DT23" s="562">
        <v>931.7</v>
      </c>
      <c r="DU23" s="586">
        <v>45119</v>
      </c>
      <c r="DV23" s="562">
        <v>931.7</v>
      </c>
      <c r="DW23" s="587" t="s">
        <v>582</v>
      </c>
      <c r="DX23" s="588">
        <v>48</v>
      </c>
      <c r="DY23" s="363">
        <f t="shared" si="17"/>
        <v>44721.600000000006</v>
      </c>
      <c r="EB23" s="103"/>
      <c r="EC23" s="15">
        <v>16</v>
      </c>
      <c r="ED23" s="68">
        <v>924.4</v>
      </c>
      <c r="EE23" s="238">
        <v>45120</v>
      </c>
      <c r="EF23" s="68">
        <v>924.4</v>
      </c>
      <c r="EG23" s="69" t="s">
        <v>592</v>
      </c>
      <c r="EH23" s="70">
        <v>48</v>
      </c>
      <c r="EI23" s="363">
        <f t="shared" si="18"/>
        <v>44371.199999999997</v>
      </c>
      <c r="EL23" s="103"/>
      <c r="EM23" s="15">
        <v>16</v>
      </c>
      <c r="EN23" s="68">
        <v>883.6</v>
      </c>
      <c r="EO23" s="238">
        <v>45121</v>
      </c>
      <c r="EP23" s="68">
        <v>883.6</v>
      </c>
      <c r="EQ23" s="69" t="s">
        <v>591</v>
      </c>
      <c r="ER23" s="70">
        <v>49</v>
      </c>
      <c r="ES23" s="363">
        <f t="shared" si="19"/>
        <v>43296.4</v>
      </c>
      <c r="EV23" s="103"/>
      <c r="EW23" s="15">
        <v>16</v>
      </c>
      <c r="EX23" s="562">
        <v>925.3</v>
      </c>
      <c r="EY23" s="640">
        <v>45122</v>
      </c>
      <c r="EZ23" s="562">
        <v>925.3</v>
      </c>
      <c r="FA23" s="563" t="s">
        <v>611</v>
      </c>
      <c r="FB23" s="564">
        <v>51</v>
      </c>
      <c r="FC23" s="363">
        <f t="shared" si="20"/>
        <v>47190.299999999996</v>
      </c>
      <c r="FF23" s="103"/>
      <c r="FG23" s="15">
        <v>16</v>
      </c>
      <c r="FH23" s="562">
        <v>862.3</v>
      </c>
      <c r="FI23" s="640">
        <v>45125</v>
      </c>
      <c r="FJ23" s="562">
        <v>862.3</v>
      </c>
      <c r="FK23" s="563" t="s">
        <v>635</v>
      </c>
      <c r="FL23" s="564">
        <v>51</v>
      </c>
      <c r="FM23" s="230">
        <f t="shared" si="21"/>
        <v>43977.299999999996</v>
      </c>
      <c r="FP23" s="103"/>
      <c r="FQ23" s="15">
        <v>16</v>
      </c>
      <c r="FR23" s="562">
        <v>938.5</v>
      </c>
      <c r="FS23" s="231">
        <v>45125</v>
      </c>
      <c r="FT23" s="562">
        <v>938.5</v>
      </c>
      <c r="FU23" s="69" t="s">
        <v>633</v>
      </c>
      <c r="FV23" s="70">
        <v>0</v>
      </c>
      <c r="FW23" s="363">
        <f t="shared" si="22"/>
        <v>0</v>
      </c>
      <c r="FX23" s="70"/>
      <c r="FZ23" s="103"/>
      <c r="GA23" s="15">
        <v>16</v>
      </c>
      <c r="GB23" s="336">
        <v>923.5</v>
      </c>
      <c r="GC23" s="231">
        <v>45126</v>
      </c>
      <c r="GD23" s="336">
        <v>923.5</v>
      </c>
      <c r="GE23" s="94" t="s">
        <v>645</v>
      </c>
      <c r="GF23" s="70">
        <v>51</v>
      </c>
      <c r="GG23" s="363">
        <f t="shared" si="23"/>
        <v>47098.5</v>
      </c>
      <c r="GJ23" s="103"/>
      <c r="GK23" s="15">
        <v>16</v>
      </c>
      <c r="GL23" s="91">
        <v>908.1</v>
      </c>
      <c r="GM23" s="231">
        <v>45127</v>
      </c>
      <c r="GN23" s="91">
        <v>908.1</v>
      </c>
      <c r="GO23" s="94" t="s">
        <v>653</v>
      </c>
      <c r="GP23" s="70">
        <v>51</v>
      </c>
      <c r="GQ23" s="363">
        <f t="shared" si="24"/>
        <v>46313.1</v>
      </c>
      <c r="GT23" s="103"/>
      <c r="GU23" s="15">
        <v>16</v>
      </c>
      <c r="GV23" s="91">
        <v>914.4</v>
      </c>
      <c r="GW23" s="231">
        <v>45128</v>
      </c>
      <c r="GX23" s="91">
        <v>914.4</v>
      </c>
      <c r="GY23" s="94" t="s">
        <v>666</v>
      </c>
      <c r="GZ23" s="70">
        <v>51</v>
      </c>
      <c r="HA23" s="363">
        <f t="shared" si="25"/>
        <v>46634.400000000001</v>
      </c>
      <c r="HD23" s="103"/>
      <c r="HE23" s="15">
        <v>16</v>
      </c>
      <c r="HF23" s="562">
        <v>903.6</v>
      </c>
      <c r="HG23" s="640">
        <v>45132</v>
      </c>
      <c r="HH23" s="562">
        <v>903.6</v>
      </c>
      <c r="HI23" s="693" t="s">
        <v>692</v>
      </c>
      <c r="HJ23" s="564">
        <v>0</v>
      </c>
      <c r="HK23" s="230">
        <f t="shared" si="26"/>
        <v>0</v>
      </c>
      <c r="HN23" s="103"/>
      <c r="HO23" s="624">
        <v>16</v>
      </c>
      <c r="HP23" s="562">
        <v>938</v>
      </c>
      <c r="HQ23" s="231">
        <v>45132</v>
      </c>
      <c r="HR23" s="562">
        <v>938</v>
      </c>
      <c r="HS23" s="278" t="s">
        <v>688</v>
      </c>
      <c r="HT23" s="70">
        <v>51</v>
      </c>
      <c r="HU23" s="230">
        <f t="shared" si="27"/>
        <v>47838</v>
      </c>
      <c r="HX23" s="93"/>
      <c r="HY23" s="15">
        <v>16</v>
      </c>
      <c r="HZ23" s="565">
        <v>938.9</v>
      </c>
      <c r="IA23" s="646">
        <v>45133</v>
      </c>
      <c r="IB23" s="565">
        <v>938.9</v>
      </c>
      <c r="IC23" s="563" t="s">
        <v>701</v>
      </c>
      <c r="ID23" s="564">
        <v>51</v>
      </c>
      <c r="IE23" s="363">
        <f t="shared" si="6"/>
        <v>47883.9</v>
      </c>
      <c r="IH23" s="103"/>
      <c r="II23" s="15">
        <v>16</v>
      </c>
      <c r="IJ23" s="68">
        <v>907.2</v>
      </c>
      <c r="IK23" s="238">
        <v>45134</v>
      </c>
      <c r="IL23" s="68">
        <v>907.2</v>
      </c>
      <c r="IM23" s="69" t="s">
        <v>712</v>
      </c>
      <c r="IN23" s="70">
        <v>51</v>
      </c>
      <c r="IO23" s="230">
        <f t="shared" si="28"/>
        <v>46267.200000000004</v>
      </c>
      <c r="IR23" s="103"/>
      <c r="IS23" s="15">
        <v>16</v>
      </c>
      <c r="IT23" s="68">
        <v>932.6</v>
      </c>
      <c r="IU23" s="238">
        <v>45135</v>
      </c>
      <c r="IV23" s="68">
        <v>932.6</v>
      </c>
      <c r="IW23" s="69" t="s">
        <v>719</v>
      </c>
      <c r="IX23" s="70">
        <v>51</v>
      </c>
      <c r="IY23" s="230">
        <f t="shared" si="29"/>
        <v>47562.6</v>
      </c>
      <c r="IZ23" s="102"/>
      <c r="JA23" s="68"/>
      <c r="JB23" s="103"/>
      <c r="JC23" s="15">
        <v>16</v>
      </c>
      <c r="JD23" s="91">
        <v>940.75</v>
      </c>
      <c r="JE23" s="238">
        <v>45136</v>
      </c>
      <c r="JF23" s="562">
        <v>940.75</v>
      </c>
      <c r="JG23" s="69" t="s">
        <v>730</v>
      </c>
      <c r="JH23" s="70">
        <v>51</v>
      </c>
      <c r="JI23" s="363">
        <f t="shared" si="30"/>
        <v>47978.25</v>
      </c>
      <c r="JL23" s="103"/>
      <c r="JM23" s="15">
        <v>16</v>
      </c>
      <c r="JN23" s="91"/>
      <c r="JO23" s="231"/>
      <c r="JP23" s="91"/>
      <c r="JQ23" s="69"/>
      <c r="JR23" s="70"/>
      <c r="JS23" s="363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3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3">
        <f t="shared" si="33"/>
        <v>0</v>
      </c>
      <c r="KP23" s="93"/>
      <c r="KQ23" s="15">
        <v>16</v>
      </c>
      <c r="KR23" s="68"/>
      <c r="KS23" s="238"/>
      <c r="KT23" s="68"/>
      <c r="KU23" s="563"/>
      <c r="KV23" s="564"/>
      <c r="KW23" s="363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3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3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3">
        <f t="shared" si="37"/>
        <v>0</v>
      </c>
      <c r="MB23" s="363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SEABOARD FOODS</v>
      </c>
      <c r="C24" s="74" t="str">
        <f t="shared" si="72"/>
        <v>Seaboard</v>
      </c>
      <c r="D24" s="99" t="str">
        <f t="shared" si="72"/>
        <v>PED. 101044869</v>
      </c>
      <c r="E24" s="131">
        <f t="shared" si="72"/>
        <v>45132</v>
      </c>
      <c r="F24" s="85">
        <f t="shared" si="72"/>
        <v>18753.2</v>
      </c>
      <c r="G24" s="72">
        <f t="shared" si="72"/>
        <v>21</v>
      </c>
      <c r="H24" s="48">
        <f t="shared" si="72"/>
        <v>18856.599999999999</v>
      </c>
      <c r="I24" s="102">
        <f t="shared" si="72"/>
        <v>-103.39999999999782</v>
      </c>
      <c r="L24" s="93"/>
      <c r="M24" s="15">
        <v>17</v>
      </c>
      <c r="N24" s="68">
        <v>962.52</v>
      </c>
      <c r="O24" s="238">
        <v>45108</v>
      </c>
      <c r="P24" s="68">
        <v>962.52</v>
      </c>
      <c r="Q24" s="69" t="s">
        <v>304</v>
      </c>
      <c r="R24" s="70">
        <v>45</v>
      </c>
      <c r="S24" s="363">
        <f t="shared" si="8"/>
        <v>43313.4</v>
      </c>
      <c r="V24" s="93"/>
      <c r="W24" s="15">
        <v>17</v>
      </c>
      <c r="X24" s="565">
        <v>278</v>
      </c>
      <c r="Y24" s="646">
        <v>45111</v>
      </c>
      <c r="Z24" s="565">
        <v>278</v>
      </c>
      <c r="AA24" s="563" t="s">
        <v>505</v>
      </c>
      <c r="AB24" s="564">
        <v>42</v>
      </c>
      <c r="AC24" s="363">
        <f t="shared" si="9"/>
        <v>11676</v>
      </c>
      <c r="AF24" s="103"/>
      <c r="AG24" s="15">
        <v>17</v>
      </c>
      <c r="AH24" s="562">
        <v>870.9</v>
      </c>
      <c r="AI24" s="640">
        <v>45111</v>
      </c>
      <c r="AJ24" s="562">
        <v>870.9</v>
      </c>
      <c r="AK24" s="693" t="s">
        <v>502</v>
      </c>
      <c r="AL24" s="564">
        <v>45</v>
      </c>
      <c r="AM24" s="363">
        <f t="shared" si="10"/>
        <v>39190.5</v>
      </c>
      <c r="AP24" s="103"/>
      <c r="AQ24" s="15">
        <v>17</v>
      </c>
      <c r="AR24" s="562">
        <v>926.7</v>
      </c>
      <c r="AS24" s="640">
        <v>45111</v>
      </c>
      <c r="AT24" s="562">
        <v>926.7</v>
      </c>
      <c r="AU24" s="693" t="s">
        <v>511</v>
      </c>
      <c r="AV24" s="564">
        <v>45</v>
      </c>
      <c r="AW24" s="363">
        <f t="shared" si="11"/>
        <v>41701.5</v>
      </c>
      <c r="AZ24" s="103"/>
      <c r="BA24" s="15">
        <v>17</v>
      </c>
      <c r="BB24" s="91">
        <v>861.8</v>
      </c>
      <c r="BC24" s="231">
        <v>45111</v>
      </c>
      <c r="BD24" s="91">
        <v>861.8</v>
      </c>
      <c r="BE24" s="94" t="s">
        <v>510</v>
      </c>
      <c r="BF24" s="70">
        <v>45</v>
      </c>
      <c r="BG24" s="363">
        <f t="shared" si="12"/>
        <v>38781</v>
      </c>
      <c r="BJ24" s="103"/>
      <c r="BK24" s="15">
        <v>17</v>
      </c>
      <c r="BL24" s="91">
        <v>885.4</v>
      </c>
      <c r="BM24" s="231">
        <v>45115</v>
      </c>
      <c r="BN24" s="91">
        <v>885.4</v>
      </c>
      <c r="BO24" s="94" t="s">
        <v>533</v>
      </c>
      <c r="BP24" s="70">
        <v>46</v>
      </c>
      <c r="BQ24" s="440">
        <f t="shared" si="13"/>
        <v>40728.400000000001</v>
      </c>
      <c r="BR24" s="363"/>
      <c r="BT24" s="103"/>
      <c r="BU24" s="15">
        <v>17</v>
      </c>
      <c r="BV24" s="91">
        <v>903.6</v>
      </c>
      <c r="BW24" s="275">
        <v>45113</v>
      </c>
      <c r="BX24" s="562">
        <v>903.6</v>
      </c>
      <c r="BY24" s="505" t="s">
        <v>522</v>
      </c>
      <c r="BZ24" s="276">
        <v>45</v>
      </c>
      <c r="CA24" s="363">
        <f t="shared" si="5"/>
        <v>40662</v>
      </c>
      <c r="CD24" s="202"/>
      <c r="CE24" s="15">
        <v>17</v>
      </c>
      <c r="CF24" s="91">
        <v>937.1</v>
      </c>
      <c r="CG24" s="275">
        <v>45115</v>
      </c>
      <c r="CH24" s="91">
        <v>937.1</v>
      </c>
      <c r="CI24" s="277" t="s">
        <v>547</v>
      </c>
      <c r="CJ24" s="276">
        <v>46</v>
      </c>
      <c r="CK24" s="230">
        <f t="shared" si="14"/>
        <v>43106.6</v>
      </c>
      <c r="CN24" s="378"/>
      <c r="CO24" s="15">
        <v>17</v>
      </c>
      <c r="CP24" s="562">
        <v>933</v>
      </c>
      <c r="CQ24" s="586">
        <v>45118</v>
      </c>
      <c r="CR24" s="562">
        <v>933</v>
      </c>
      <c r="CS24" s="587" t="s">
        <v>564</v>
      </c>
      <c r="CT24" s="276">
        <v>47</v>
      </c>
      <c r="CU24" s="368">
        <f t="shared" si="58"/>
        <v>43851</v>
      </c>
      <c r="CX24" s="103"/>
      <c r="CY24" s="15">
        <v>17</v>
      </c>
      <c r="CZ24" s="562">
        <v>859.5</v>
      </c>
      <c r="DA24" s="640">
        <v>45118</v>
      </c>
      <c r="DB24" s="562">
        <v>859.5</v>
      </c>
      <c r="DC24" s="693" t="s">
        <v>569</v>
      </c>
      <c r="DD24" s="564">
        <v>42</v>
      </c>
      <c r="DE24" s="363">
        <f t="shared" si="15"/>
        <v>36099</v>
      </c>
      <c r="DH24" s="103"/>
      <c r="DI24" s="15">
        <v>17</v>
      </c>
      <c r="DJ24" s="562">
        <v>909</v>
      </c>
      <c r="DK24" s="586">
        <v>45118</v>
      </c>
      <c r="DL24" s="562">
        <v>909</v>
      </c>
      <c r="DM24" s="587" t="s">
        <v>567</v>
      </c>
      <c r="DN24" s="588">
        <v>0</v>
      </c>
      <c r="DO24" s="368">
        <f t="shared" si="16"/>
        <v>0</v>
      </c>
      <c r="DR24" s="103"/>
      <c r="DS24" s="15">
        <v>17</v>
      </c>
      <c r="DT24" s="562">
        <v>898.1</v>
      </c>
      <c r="DU24" s="586">
        <v>45119</v>
      </c>
      <c r="DV24" s="562">
        <v>898.1</v>
      </c>
      <c r="DW24" s="587" t="s">
        <v>582</v>
      </c>
      <c r="DX24" s="588">
        <v>48</v>
      </c>
      <c r="DY24" s="363">
        <f t="shared" si="17"/>
        <v>43108.800000000003</v>
      </c>
      <c r="EB24" s="103"/>
      <c r="EC24" s="15">
        <v>17</v>
      </c>
      <c r="ED24" s="68">
        <v>900.8</v>
      </c>
      <c r="EE24" s="238">
        <v>45120</v>
      </c>
      <c r="EF24" s="68">
        <v>900.8</v>
      </c>
      <c r="EG24" s="69" t="s">
        <v>592</v>
      </c>
      <c r="EH24" s="70">
        <v>48</v>
      </c>
      <c r="EI24" s="363">
        <f t="shared" si="18"/>
        <v>43238.399999999994</v>
      </c>
      <c r="EL24" s="103"/>
      <c r="EM24" s="15">
        <v>17</v>
      </c>
      <c r="EN24" s="68">
        <v>929.9</v>
      </c>
      <c r="EO24" s="238">
        <v>45121</v>
      </c>
      <c r="EP24" s="68">
        <v>929.9</v>
      </c>
      <c r="EQ24" s="69" t="s">
        <v>591</v>
      </c>
      <c r="ER24" s="70">
        <v>49</v>
      </c>
      <c r="ES24" s="363">
        <f t="shared" si="19"/>
        <v>45565.1</v>
      </c>
      <c r="EV24" s="103"/>
      <c r="EW24" s="15">
        <v>17</v>
      </c>
      <c r="EX24" s="562">
        <v>861.8</v>
      </c>
      <c r="EY24" s="640">
        <v>45122</v>
      </c>
      <c r="EZ24" s="562">
        <v>861.8</v>
      </c>
      <c r="FA24" s="563" t="s">
        <v>611</v>
      </c>
      <c r="FB24" s="564">
        <v>51</v>
      </c>
      <c r="FC24" s="363">
        <f t="shared" si="20"/>
        <v>43951.799999999996</v>
      </c>
      <c r="FF24" s="103"/>
      <c r="FG24" s="15">
        <v>17</v>
      </c>
      <c r="FH24" s="562">
        <v>865</v>
      </c>
      <c r="FI24" s="640">
        <v>45125</v>
      </c>
      <c r="FJ24" s="562">
        <v>865</v>
      </c>
      <c r="FK24" s="563" t="s">
        <v>635</v>
      </c>
      <c r="FL24" s="564">
        <v>51</v>
      </c>
      <c r="FM24" s="230">
        <f t="shared" si="21"/>
        <v>44115</v>
      </c>
      <c r="FP24" s="103"/>
      <c r="FQ24" s="15">
        <v>17</v>
      </c>
      <c r="FR24" s="562">
        <v>932.1</v>
      </c>
      <c r="FS24" s="231">
        <v>45125</v>
      </c>
      <c r="FT24" s="562">
        <v>932.1</v>
      </c>
      <c r="FU24" s="69" t="s">
        <v>633</v>
      </c>
      <c r="FV24" s="70">
        <v>0</v>
      </c>
      <c r="FW24" s="363">
        <f t="shared" si="22"/>
        <v>0</v>
      </c>
      <c r="FX24" s="70"/>
      <c r="FZ24" s="103"/>
      <c r="GA24" s="15">
        <v>17</v>
      </c>
      <c r="GB24" s="336">
        <v>936.2</v>
      </c>
      <c r="GC24" s="231">
        <v>45126</v>
      </c>
      <c r="GD24" s="336">
        <v>936.2</v>
      </c>
      <c r="GE24" s="94" t="s">
        <v>645</v>
      </c>
      <c r="GF24" s="70">
        <v>51</v>
      </c>
      <c r="GG24" s="363">
        <f t="shared" si="23"/>
        <v>47746.200000000004</v>
      </c>
      <c r="GJ24" s="103"/>
      <c r="GK24" s="15">
        <v>17</v>
      </c>
      <c r="GL24" s="91">
        <v>899</v>
      </c>
      <c r="GM24" s="231">
        <v>45127</v>
      </c>
      <c r="GN24" s="91">
        <v>899</v>
      </c>
      <c r="GO24" s="94" t="s">
        <v>653</v>
      </c>
      <c r="GP24" s="70">
        <v>51</v>
      </c>
      <c r="GQ24" s="363">
        <f t="shared" si="24"/>
        <v>45849</v>
      </c>
      <c r="GT24" s="103"/>
      <c r="GU24" s="15">
        <v>17</v>
      </c>
      <c r="GV24" s="91">
        <v>922.6</v>
      </c>
      <c r="GW24" s="231">
        <v>45128</v>
      </c>
      <c r="GX24" s="91">
        <v>922.6</v>
      </c>
      <c r="GY24" s="94" t="s">
        <v>666</v>
      </c>
      <c r="GZ24" s="70">
        <v>51</v>
      </c>
      <c r="HA24" s="363">
        <f t="shared" si="25"/>
        <v>47052.6</v>
      </c>
      <c r="HD24" s="103"/>
      <c r="HE24" s="15">
        <v>17</v>
      </c>
      <c r="HF24" s="562">
        <v>887.2</v>
      </c>
      <c r="HG24" s="640">
        <v>45132</v>
      </c>
      <c r="HH24" s="562">
        <v>887.2</v>
      </c>
      <c r="HI24" s="693" t="s">
        <v>692</v>
      </c>
      <c r="HJ24" s="564">
        <v>0</v>
      </c>
      <c r="HK24" s="230">
        <f t="shared" si="26"/>
        <v>0</v>
      </c>
      <c r="HN24" s="103"/>
      <c r="HO24" s="624">
        <v>17</v>
      </c>
      <c r="HP24" s="562">
        <v>913.5</v>
      </c>
      <c r="HQ24" s="231">
        <v>45132</v>
      </c>
      <c r="HR24" s="562">
        <v>913.5</v>
      </c>
      <c r="HS24" s="278" t="s">
        <v>688</v>
      </c>
      <c r="HT24" s="70">
        <v>51</v>
      </c>
      <c r="HU24" s="230">
        <f t="shared" si="27"/>
        <v>46588.5</v>
      </c>
      <c r="HX24" s="103"/>
      <c r="HY24" s="15">
        <v>17</v>
      </c>
      <c r="HZ24" s="565">
        <v>869.1</v>
      </c>
      <c r="IA24" s="646">
        <v>45133</v>
      </c>
      <c r="IB24" s="565">
        <v>869.1</v>
      </c>
      <c r="IC24" s="563" t="s">
        <v>701</v>
      </c>
      <c r="ID24" s="564">
        <v>51</v>
      </c>
      <c r="IE24" s="363">
        <f t="shared" si="6"/>
        <v>44324.1</v>
      </c>
      <c r="IH24" s="103"/>
      <c r="II24" s="15">
        <v>17</v>
      </c>
      <c r="IJ24" s="68">
        <v>919</v>
      </c>
      <c r="IK24" s="238">
        <v>45134</v>
      </c>
      <c r="IL24" s="68">
        <v>919</v>
      </c>
      <c r="IM24" s="69" t="s">
        <v>712</v>
      </c>
      <c r="IN24" s="70">
        <v>51</v>
      </c>
      <c r="IO24" s="230">
        <f t="shared" si="28"/>
        <v>46869</v>
      </c>
      <c r="IR24" s="103"/>
      <c r="IS24" s="15">
        <v>17</v>
      </c>
      <c r="IT24" s="68">
        <v>916.7</v>
      </c>
      <c r="IU24" s="238">
        <v>45135</v>
      </c>
      <c r="IV24" s="68">
        <v>916.7</v>
      </c>
      <c r="IW24" s="69" t="s">
        <v>719</v>
      </c>
      <c r="IX24" s="70">
        <v>51</v>
      </c>
      <c r="IY24" s="230">
        <f t="shared" si="29"/>
        <v>46751.700000000004</v>
      </c>
      <c r="JA24" s="68"/>
      <c r="JB24" s="103"/>
      <c r="JC24" s="15">
        <v>17</v>
      </c>
      <c r="JD24" s="91">
        <v>917.16</v>
      </c>
      <c r="JE24" s="238">
        <v>45136</v>
      </c>
      <c r="JF24" s="562">
        <v>917.16</v>
      </c>
      <c r="JG24" s="69" t="s">
        <v>726</v>
      </c>
      <c r="JH24" s="70">
        <v>51</v>
      </c>
      <c r="JI24" s="230">
        <f t="shared" si="30"/>
        <v>46775.159999999996</v>
      </c>
      <c r="JL24" s="103"/>
      <c r="JM24" s="15">
        <v>17</v>
      </c>
      <c r="JN24" s="91"/>
      <c r="JO24" s="231"/>
      <c r="JP24" s="91"/>
      <c r="JQ24" s="69"/>
      <c r="JR24" s="70"/>
      <c r="JS24" s="363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3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3">
        <f t="shared" si="33"/>
        <v>0</v>
      </c>
      <c r="KP24" s="93"/>
      <c r="KQ24" s="15">
        <v>17</v>
      </c>
      <c r="KR24" s="68"/>
      <c r="KS24" s="238"/>
      <c r="KT24" s="68"/>
      <c r="KU24" s="563"/>
      <c r="KV24" s="564"/>
      <c r="KW24" s="363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3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3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3">
        <f t="shared" si="37"/>
        <v>0</v>
      </c>
      <c r="MB24" s="363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101044870</v>
      </c>
      <c r="E25" s="131">
        <f t="shared" si="73"/>
        <v>45132</v>
      </c>
      <c r="F25" s="85">
        <f t="shared" si="73"/>
        <v>19024.82</v>
      </c>
      <c r="G25" s="72">
        <f t="shared" si="73"/>
        <v>21</v>
      </c>
      <c r="H25" s="48">
        <f t="shared" si="73"/>
        <v>19002.7</v>
      </c>
      <c r="I25" s="102">
        <f t="shared" si="73"/>
        <v>22.119999999998981</v>
      </c>
      <c r="L25" s="93"/>
      <c r="M25" s="15">
        <v>18</v>
      </c>
      <c r="N25" s="68">
        <v>969.78</v>
      </c>
      <c r="O25" s="238">
        <v>45108</v>
      </c>
      <c r="P25" s="68">
        <v>969.78</v>
      </c>
      <c r="Q25" s="69" t="s">
        <v>304</v>
      </c>
      <c r="R25" s="70">
        <v>45</v>
      </c>
      <c r="S25" s="363">
        <f t="shared" si="8"/>
        <v>43640.1</v>
      </c>
      <c r="V25" s="93"/>
      <c r="W25" s="15">
        <v>18</v>
      </c>
      <c r="X25" s="565">
        <v>942</v>
      </c>
      <c r="Y25" s="646">
        <v>45111</v>
      </c>
      <c r="Z25" s="565">
        <v>942</v>
      </c>
      <c r="AA25" s="563" t="s">
        <v>505</v>
      </c>
      <c r="AB25" s="564">
        <v>42</v>
      </c>
      <c r="AC25" s="363">
        <f t="shared" si="9"/>
        <v>39564</v>
      </c>
      <c r="AF25" s="93"/>
      <c r="AG25" s="15">
        <v>18</v>
      </c>
      <c r="AH25" s="562">
        <v>904.9</v>
      </c>
      <c r="AI25" s="640">
        <v>45111</v>
      </c>
      <c r="AJ25" s="562">
        <v>904.9</v>
      </c>
      <c r="AK25" s="693" t="s">
        <v>502</v>
      </c>
      <c r="AL25" s="564">
        <v>45</v>
      </c>
      <c r="AM25" s="363">
        <f t="shared" si="10"/>
        <v>40720.5</v>
      </c>
      <c r="AP25" s="93"/>
      <c r="AQ25" s="15">
        <v>18</v>
      </c>
      <c r="AR25" s="562">
        <v>888</v>
      </c>
      <c r="AS25" s="640">
        <v>45111</v>
      </c>
      <c r="AT25" s="562">
        <v>888</v>
      </c>
      <c r="AU25" s="693" t="s">
        <v>511</v>
      </c>
      <c r="AV25" s="564">
        <v>45</v>
      </c>
      <c r="AW25" s="363">
        <f t="shared" si="11"/>
        <v>39960</v>
      </c>
      <c r="AZ25" s="93"/>
      <c r="BA25" s="15">
        <v>18</v>
      </c>
      <c r="BB25" s="91">
        <v>883.6</v>
      </c>
      <c r="BC25" s="231">
        <v>45114</v>
      </c>
      <c r="BD25" s="91">
        <v>883.6</v>
      </c>
      <c r="BE25" s="94" t="s">
        <v>531</v>
      </c>
      <c r="BF25" s="70">
        <v>46</v>
      </c>
      <c r="BG25" s="363">
        <f t="shared" si="12"/>
        <v>40645.599999999999</v>
      </c>
      <c r="BJ25" s="93"/>
      <c r="BK25" s="15">
        <v>18</v>
      </c>
      <c r="BL25" s="91">
        <v>929</v>
      </c>
      <c r="BM25" s="231">
        <v>45115</v>
      </c>
      <c r="BN25" s="91">
        <v>929</v>
      </c>
      <c r="BO25" s="94" t="s">
        <v>548</v>
      </c>
      <c r="BP25" s="70">
        <v>46</v>
      </c>
      <c r="BQ25" s="440">
        <f t="shared" si="13"/>
        <v>42734</v>
      </c>
      <c r="BR25" s="363"/>
      <c r="BT25" s="103"/>
      <c r="BU25" s="15">
        <v>18</v>
      </c>
      <c r="BV25" s="91">
        <v>913.5</v>
      </c>
      <c r="BW25" s="275">
        <v>45113</v>
      </c>
      <c r="BX25" s="562">
        <v>913.5</v>
      </c>
      <c r="BY25" s="505" t="s">
        <v>522</v>
      </c>
      <c r="BZ25" s="276">
        <v>45</v>
      </c>
      <c r="CA25" s="363">
        <f t="shared" si="5"/>
        <v>41107.5</v>
      </c>
      <c r="CD25" s="202"/>
      <c r="CE25" s="15">
        <v>18</v>
      </c>
      <c r="CF25" s="91">
        <v>902.6</v>
      </c>
      <c r="CG25" s="275">
        <v>45115</v>
      </c>
      <c r="CH25" s="91">
        <v>902.6</v>
      </c>
      <c r="CI25" s="277" t="s">
        <v>547</v>
      </c>
      <c r="CJ25" s="276">
        <v>46</v>
      </c>
      <c r="CK25" s="363">
        <f t="shared" si="14"/>
        <v>41519.599999999999</v>
      </c>
      <c r="CN25" s="378"/>
      <c r="CO25" s="15">
        <v>18</v>
      </c>
      <c r="CP25" s="562">
        <v>929</v>
      </c>
      <c r="CQ25" s="586">
        <v>45118</v>
      </c>
      <c r="CR25" s="562">
        <v>929</v>
      </c>
      <c r="CS25" s="587" t="s">
        <v>564</v>
      </c>
      <c r="CT25" s="276">
        <v>47</v>
      </c>
      <c r="CU25" s="368">
        <f t="shared" si="58"/>
        <v>43663</v>
      </c>
      <c r="CX25" s="93"/>
      <c r="CY25" s="15">
        <v>18</v>
      </c>
      <c r="CZ25" s="562">
        <v>877.5</v>
      </c>
      <c r="DA25" s="640">
        <v>45118</v>
      </c>
      <c r="DB25" s="562">
        <v>877.5</v>
      </c>
      <c r="DC25" s="693" t="s">
        <v>569</v>
      </c>
      <c r="DD25" s="564">
        <v>42</v>
      </c>
      <c r="DE25" s="363">
        <f t="shared" si="15"/>
        <v>36855</v>
      </c>
      <c r="DH25" s="93"/>
      <c r="DI25" s="15">
        <v>18</v>
      </c>
      <c r="DJ25" s="562">
        <v>894.5</v>
      </c>
      <c r="DK25" s="586">
        <v>45118</v>
      </c>
      <c r="DL25" s="562">
        <v>894.5</v>
      </c>
      <c r="DM25" s="587" t="s">
        <v>567</v>
      </c>
      <c r="DN25" s="588">
        <v>0</v>
      </c>
      <c r="DO25" s="368">
        <f t="shared" si="16"/>
        <v>0</v>
      </c>
      <c r="DR25" s="93"/>
      <c r="DS25" s="15">
        <v>18</v>
      </c>
      <c r="DT25" s="562">
        <v>899.9</v>
      </c>
      <c r="DU25" s="586">
        <v>45119</v>
      </c>
      <c r="DV25" s="562">
        <v>899.9</v>
      </c>
      <c r="DW25" s="587" t="s">
        <v>582</v>
      </c>
      <c r="DX25" s="588">
        <v>48</v>
      </c>
      <c r="DY25" s="363">
        <f t="shared" si="17"/>
        <v>43195.199999999997</v>
      </c>
      <c r="EB25" s="93"/>
      <c r="EC25" s="15">
        <v>18</v>
      </c>
      <c r="ED25" s="68">
        <v>889.9</v>
      </c>
      <c r="EE25" s="238">
        <v>45120</v>
      </c>
      <c r="EF25" s="68">
        <v>889.9</v>
      </c>
      <c r="EG25" s="69" t="s">
        <v>592</v>
      </c>
      <c r="EH25" s="70">
        <v>48</v>
      </c>
      <c r="EI25" s="363">
        <f t="shared" si="18"/>
        <v>42715.199999999997</v>
      </c>
      <c r="EL25" s="93"/>
      <c r="EM25" s="15">
        <v>18</v>
      </c>
      <c r="EN25" s="68">
        <v>882.7</v>
      </c>
      <c r="EO25" s="238">
        <v>45121</v>
      </c>
      <c r="EP25" s="68">
        <v>882.7</v>
      </c>
      <c r="EQ25" s="69" t="s">
        <v>591</v>
      </c>
      <c r="ER25" s="70">
        <v>49</v>
      </c>
      <c r="ES25" s="363">
        <f t="shared" si="19"/>
        <v>43252.3</v>
      </c>
      <c r="EV25" s="93"/>
      <c r="EW25" s="15">
        <v>18</v>
      </c>
      <c r="EX25" s="562">
        <v>902.6</v>
      </c>
      <c r="EY25" s="640">
        <v>45122</v>
      </c>
      <c r="EZ25" s="562">
        <v>902.6</v>
      </c>
      <c r="FA25" s="563" t="s">
        <v>611</v>
      </c>
      <c r="FB25" s="564">
        <v>51</v>
      </c>
      <c r="FC25" s="363">
        <f t="shared" si="20"/>
        <v>46032.6</v>
      </c>
      <c r="FF25" s="93"/>
      <c r="FG25" s="15">
        <v>18</v>
      </c>
      <c r="FH25" s="562">
        <v>866.4</v>
      </c>
      <c r="FI25" s="640">
        <v>45125</v>
      </c>
      <c r="FJ25" s="562">
        <v>866.4</v>
      </c>
      <c r="FK25" s="563" t="s">
        <v>635</v>
      </c>
      <c r="FL25" s="564">
        <v>51</v>
      </c>
      <c r="FM25" s="230">
        <f t="shared" si="21"/>
        <v>44186.400000000001</v>
      </c>
      <c r="FP25" s="93"/>
      <c r="FQ25" s="15">
        <v>18</v>
      </c>
      <c r="FR25" s="562">
        <v>921.2</v>
      </c>
      <c r="FS25" s="231">
        <v>45125</v>
      </c>
      <c r="FT25" s="562">
        <v>921.2</v>
      </c>
      <c r="FU25" s="69" t="s">
        <v>633</v>
      </c>
      <c r="FV25" s="70">
        <v>0</v>
      </c>
      <c r="FW25" s="363">
        <f t="shared" si="22"/>
        <v>0</v>
      </c>
      <c r="FX25" s="70"/>
      <c r="FZ25" s="93"/>
      <c r="GA25" s="15">
        <v>18</v>
      </c>
      <c r="GB25" s="336">
        <v>905.4</v>
      </c>
      <c r="GC25" s="231">
        <v>45126</v>
      </c>
      <c r="GD25" s="336">
        <v>905.4</v>
      </c>
      <c r="GE25" s="94" t="s">
        <v>645</v>
      </c>
      <c r="GF25" s="70">
        <v>51</v>
      </c>
      <c r="GG25" s="363">
        <f t="shared" si="23"/>
        <v>46175.4</v>
      </c>
      <c r="GJ25" s="93"/>
      <c r="GK25" s="15">
        <v>18</v>
      </c>
      <c r="GL25" s="91">
        <v>872.3</v>
      </c>
      <c r="GM25" s="231">
        <v>45127</v>
      </c>
      <c r="GN25" s="91">
        <v>872.3</v>
      </c>
      <c r="GO25" s="94" t="s">
        <v>653</v>
      </c>
      <c r="GP25" s="70">
        <v>51</v>
      </c>
      <c r="GQ25" s="363">
        <f t="shared" si="24"/>
        <v>44487.299999999996</v>
      </c>
      <c r="GT25" s="93"/>
      <c r="GU25" s="15">
        <v>18</v>
      </c>
      <c r="GV25" s="91">
        <v>924.4</v>
      </c>
      <c r="GW25" s="231">
        <v>45128</v>
      </c>
      <c r="GX25" s="91">
        <v>924.4</v>
      </c>
      <c r="GY25" s="94" t="s">
        <v>666</v>
      </c>
      <c r="GZ25" s="70">
        <v>51</v>
      </c>
      <c r="HA25" s="363">
        <f t="shared" si="25"/>
        <v>47144.4</v>
      </c>
      <c r="HD25" s="93"/>
      <c r="HE25" s="15">
        <v>18</v>
      </c>
      <c r="HF25" s="562">
        <v>887.2</v>
      </c>
      <c r="HG25" s="640">
        <v>45132</v>
      </c>
      <c r="HH25" s="562">
        <v>887.2</v>
      </c>
      <c r="HI25" s="693" t="s">
        <v>691</v>
      </c>
      <c r="HJ25" s="564">
        <v>0</v>
      </c>
      <c r="HK25" s="230">
        <f t="shared" si="26"/>
        <v>0</v>
      </c>
      <c r="HN25" s="202"/>
      <c r="HO25" s="624">
        <v>18</v>
      </c>
      <c r="HP25" s="562">
        <v>909</v>
      </c>
      <c r="HQ25" s="231">
        <v>45132</v>
      </c>
      <c r="HR25" s="562">
        <v>909</v>
      </c>
      <c r="HS25" s="278" t="s">
        <v>688</v>
      </c>
      <c r="HT25" s="70">
        <v>51</v>
      </c>
      <c r="HU25" s="230">
        <f t="shared" si="27"/>
        <v>46359</v>
      </c>
      <c r="HX25" s="103"/>
      <c r="HY25" s="15">
        <v>18</v>
      </c>
      <c r="HZ25" s="565">
        <v>793.8</v>
      </c>
      <c r="IA25" s="646">
        <v>45133</v>
      </c>
      <c r="IB25" s="565">
        <v>793.8</v>
      </c>
      <c r="IC25" s="563" t="s">
        <v>701</v>
      </c>
      <c r="ID25" s="564">
        <v>51</v>
      </c>
      <c r="IE25" s="363">
        <f t="shared" si="6"/>
        <v>40483.799999999996</v>
      </c>
      <c r="IH25" s="93"/>
      <c r="II25" s="15">
        <v>18</v>
      </c>
      <c r="IJ25" s="68">
        <v>913.5</v>
      </c>
      <c r="IK25" s="238">
        <v>45134</v>
      </c>
      <c r="IL25" s="68">
        <v>913.5</v>
      </c>
      <c r="IM25" s="69" t="s">
        <v>712</v>
      </c>
      <c r="IN25" s="70">
        <v>51</v>
      </c>
      <c r="IO25" s="230">
        <f t="shared" si="28"/>
        <v>46588.5</v>
      </c>
      <c r="IR25" s="93"/>
      <c r="IS25" s="15">
        <v>18</v>
      </c>
      <c r="IT25" s="68">
        <v>907.2</v>
      </c>
      <c r="IU25" s="238">
        <v>45135</v>
      </c>
      <c r="IV25" s="68">
        <v>907.2</v>
      </c>
      <c r="IW25" s="69" t="s">
        <v>719</v>
      </c>
      <c r="IX25" s="70">
        <v>51</v>
      </c>
      <c r="IY25" s="230">
        <f t="shared" si="29"/>
        <v>46267.200000000004</v>
      </c>
      <c r="JA25" s="68"/>
      <c r="JB25" s="93"/>
      <c r="JC25" s="15">
        <v>18</v>
      </c>
      <c r="JD25" s="91">
        <v>900.83</v>
      </c>
      <c r="JE25" s="238">
        <v>45136</v>
      </c>
      <c r="JF25" s="91">
        <v>900.83</v>
      </c>
      <c r="JG25" s="69" t="s">
        <v>728</v>
      </c>
      <c r="JH25" s="70">
        <v>51</v>
      </c>
      <c r="JI25" s="363">
        <f t="shared" si="30"/>
        <v>45942.33</v>
      </c>
      <c r="JL25" s="93"/>
      <c r="JM25" s="15">
        <v>18</v>
      </c>
      <c r="JN25" s="91"/>
      <c r="JO25" s="231"/>
      <c r="JP25" s="91"/>
      <c r="JQ25" s="69"/>
      <c r="JR25" s="70"/>
      <c r="JS25" s="363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3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3">
        <f t="shared" si="33"/>
        <v>0</v>
      </c>
      <c r="KP25" s="93"/>
      <c r="KQ25" s="15">
        <v>18</v>
      </c>
      <c r="KR25" s="68"/>
      <c r="KS25" s="238"/>
      <c r="KT25" s="68"/>
      <c r="KU25" s="563"/>
      <c r="KV25" s="564"/>
      <c r="KW25" s="363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3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3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3">
        <f t="shared" si="37"/>
        <v>0</v>
      </c>
      <c r="MB25" s="363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ALFONSO ESPINDOLA SALDAÑA</v>
      </c>
      <c r="C26" s="74" t="str">
        <f t="shared" si="74"/>
        <v>PRESTAGE</v>
      </c>
      <c r="D26" s="99">
        <f t="shared" si="74"/>
        <v>0</v>
      </c>
      <c r="E26" s="131">
        <f t="shared" si="74"/>
        <v>45133</v>
      </c>
      <c r="F26" s="85">
        <f t="shared" si="74"/>
        <v>19010.48</v>
      </c>
      <c r="G26" s="72">
        <f t="shared" si="74"/>
        <v>22</v>
      </c>
      <c r="H26" s="48">
        <f t="shared" si="74"/>
        <v>19116.2</v>
      </c>
      <c r="I26" s="102">
        <f t="shared" si="74"/>
        <v>-105.72000000000116</v>
      </c>
      <c r="L26" s="93"/>
      <c r="M26" s="15">
        <v>19</v>
      </c>
      <c r="N26" s="68">
        <v>937.12</v>
      </c>
      <c r="O26" s="238">
        <v>45108</v>
      </c>
      <c r="P26" s="68">
        <v>937.12</v>
      </c>
      <c r="Q26" s="69" t="s">
        <v>300</v>
      </c>
      <c r="R26" s="70">
        <v>45</v>
      </c>
      <c r="S26" s="363">
        <f t="shared" si="8"/>
        <v>42170.400000000001</v>
      </c>
      <c r="V26" s="93"/>
      <c r="W26" s="15">
        <v>19</v>
      </c>
      <c r="X26" s="565">
        <v>830.5</v>
      </c>
      <c r="Y26" s="646">
        <v>45111</v>
      </c>
      <c r="Z26" s="565">
        <v>830.5</v>
      </c>
      <c r="AA26" s="563" t="s">
        <v>505</v>
      </c>
      <c r="AB26" s="564">
        <v>42</v>
      </c>
      <c r="AC26" s="363">
        <f t="shared" si="9"/>
        <v>34881</v>
      </c>
      <c r="AF26" s="103"/>
      <c r="AG26" s="15">
        <v>19</v>
      </c>
      <c r="AH26" s="562">
        <v>894.9</v>
      </c>
      <c r="AI26" s="640">
        <v>45111</v>
      </c>
      <c r="AJ26" s="562">
        <v>894.9</v>
      </c>
      <c r="AK26" s="693" t="s">
        <v>502</v>
      </c>
      <c r="AL26" s="564">
        <v>45</v>
      </c>
      <c r="AM26" s="363">
        <f t="shared" si="10"/>
        <v>40270.5</v>
      </c>
      <c r="AP26" s="103"/>
      <c r="AQ26" s="15">
        <v>19</v>
      </c>
      <c r="AR26" s="562">
        <v>898.6</v>
      </c>
      <c r="AS26" s="640">
        <v>45112</v>
      </c>
      <c r="AT26" s="562">
        <v>898.6</v>
      </c>
      <c r="AU26" s="693" t="s">
        <v>514</v>
      </c>
      <c r="AV26" s="564">
        <v>45</v>
      </c>
      <c r="AW26" s="363">
        <f t="shared" si="11"/>
        <v>40437</v>
      </c>
      <c r="AZ26" s="103"/>
      <c r="BA26" s="15">
        <v>19</v>
      </c>
      <c r="BB26" s="91">
        <v>890.9</v>
      </c>
      <c r="BC26" s="231">
        <v>45112</v>
      </c>
      <c r="BD26" s="91">
        <v>890.9</v>
      </c>
      <c r="BE26" s="94" t="s">
        <v>513</v>
      </c>
      <c r="BF26" s="70">
        <v>45</v>
      </c>
      <c r="BG26" s="363">
        <f t="shared" si="12"/>
        <v>40090.5</v>
      </c>
      <c r="BJ26" s="103"/>
      <c r="BK26" s="15">
        <v>19</v>
      </c>
      <c r="BL26" s="91">
        <v>930.8</v>
      </c>
      <c r="BM26" s="231">
        <v>45115</v>
      </c>
      <c r="BN26" s="91">
        <v>930.8</v>
      </c>
      <c r="BO26" s="94" t="s">
        <v>533</v>
      </c>
      <c r="BP26" s="70">
        <v>46</v>
      </c>
      <c r="BQ26" s="440">
        <f t="shared" si="13"/>
        <v>42816.799999999996</v>
      </c>
      <c r="BR26" s="363"/>
      <c r="BT26" s="103"/>
      <c r="BU26" s="15">
        <v>19</v>
      </c>
      <c r="BV26" s="91">
        <v>918.1</v>
      </c>
      <c r="BW26" s="275">
        <v>45113</v>
      </c>
      <c r="BX26" s="562">
        <v>918.1</v>
      </c>
      <c r="BY26" s="505" t="s">
        <v>522</v>
      </c>
      <c r="BZ26" s="276">
        <v>45</v>
      </c>
      <c r="CA26" s="363">
        <f t="shared" si="5"/>
        <v>41314.5</v>
      </c>
      <c r="CD26" s="202"/>
      <c r="CE26" s="15">
        <v>19</v>
      </c>
      <c r="CF26" s="91">
        <v>892.7</v>
      </c>
      <c r="CG26" s="275">
        <v>45115</v>
      </c>
      <c r="CH26" s="91">
        <v>892.7</v>
      </c>
      <c r="CI26" s="277" t="s">
        <v>547</v>
      </c>
      <c r="CJ26" s="276">
        <v>46</v>
      </c>
      <c r="CK26" s="363">
        <f t="shared" si="14"/>
        <v>41064.200000000004</v>
      </c>
      <c r="CN26" s="378"/>
      <c r="CO26" s="15">
        <v>19</v>
      </c>
      <c r="CP26" s="562">
        <v>922.1</v>
      </c>
      <c r="CQ26" s="586">
        <v>45118</v>
      </c>
      <c r="CR26" s="562">
        <v>922.1</v>
      </c>
      <c r="CS26" s="587" t="s">
        <v>564</v>
      </c>
      <c r="CT26" s="276">
        <v>47</v>
      </c>
      <c r="CU26" s="368">
        <f t="shared" si="58"/>
        <v>43338.700000000004</v>
      </c>
      <c r="CX26" s="103"/>
      <c r="CY26" s="15">
        <v>19</v>
      </c>
      <c r="CZ26" s="562">
        <v>839.5</v>
      </c>
      <c r="DA26" s="640">
        <v>45118</v>
      </c>
      <c r="DB26" s="562">
        <v>839.5</v>
      </c>
      <c r="DC26" s="693" t="s">
        <v>569</v>
      </c>
      <c r="DD26" s="564">
        <v>42</v>
      </c>
      <c r="DE26" s="363">
        <f t="shared" si="15"/>
        <v>35259</v>
      </c>
      <c r="DH26" s="103"/>
      <c r="DI26" s="15">
        <v>19</v>
      </c>
      <c r="DJ26" s="562">
        <v>909.9</v>
      </c>
      <c r="DK26" s="586">
        <v>45118</v>
      </c>
      <c r="DL26" s="562">
        <v>909.9</v>
      </c>
      <c r="DM26" s="587" t="s">
        <v>567</v>
      </c>
      <c r="DN26" s="588">
        <v>0</v>
      </c>
      <c r="DO26" s="368">
        <f t="shared" si="16"/>
        <v>0</v>
      </c>
      <c r="DR26" s="103"/>
      <c r="DS26" s="15">
        <v>19</v>
      </c>
      <c r="DT26" s="562">
        <v>914.4</v>
      </c>
      <c r="DU26" s="586">
        <v>45119</v>
      </c>
      <c r="DV26" s="562">
        <v>914.4</v>
      </c>
      <c r="DW26" s="587" t="s">
        <v>582</v>
      </c>
      <c r="DX26" s="588">
        <v>48</v>
      </c>
      <c r="DY26" s="363">
        <f t="shared" si="17"/>
        <v>43891.199999999997</v>
      </c>
      <c r="EB26" s="103"/>
      <c r="EC26" s="15">
        <v>19</v>
      </c>
      <c r="ED26" s="68">
        <v>920.8</v>
      </c>
      <c r="EE26" s="238">
        <v>45120</v>
      </c>
      <c r="EF26" s="68">
        <v>920.8</v>
      </c>
      <c r="EG26" s="69" t="s">
        <v>592</v>
      </c>
      <c r="EH26" s="70">
        <v>48</v>
      </c>
      <c r="EI26" s="363">
        <f t="shared" si="18"/>
        <v>44198.399999999994</v>
      </c>
      <c r="EL26" s="103"/>
      <c r="EM26" s="15">
        <v>19</v>
      </c>
      <c r="EN26" s="68">
        <v>933.5</v>
      </c>
      <c r="EO26" s="238">
        <v>45121</v>
      </c>
      <c r="EP26" s="68">
        <v>933.5</v>
      </c>
      <c r="EQ26" s="69" t="s">
        <v>591</v>
      </c>
      <c r="ER26" s="70">
        <v>49</v>
      </c>
      <c r="ES26" s="363">
        <f t="shared" si="19"/>
        <v>45741.5</v>
      </c>
      <c r="EV26" s="93"/>
      <c r="EW26" s="15">
        <v>19</v>
      </c>
      <c r="EX26" s="562">
        <v>925.3</v>
      </c>
      <c r="EY26" s="640">
        <v>45122</v>
      </c>
      <c r="EZ26" s="562">
        <v>925.3</v>
      </c>
      <c r="FA26" s="563" t="s">
        <v>611</v>
      </c>
      <c r="FB26" s="564">
        <v>51</v>
      </c>
      <c r="FC26" s="363">
        <f t="shared" si="20"/>
        <v>47190.299999999996</v>
      </c>
      <c r="FF26" s="93"/>
      <c r="FG26" s="15">
        <v>19</v>
      </c>
      <c r="FH26" s="562">
        <v>873.2</v>
      </c>
      <c r="FI26" s="640">
        <v>45125</v>
      </c>
      <c r="FJ26" s="562">
        <v>873.2</v>
      </c>
      <c r="FK26" s="563" t="s">
        <v>635</v>
      </c>
      <c r="FL26" s="564">
        <v>51</v>
      </c>
      <c r="FM26" s="230">
        <f t="shared" si="21"/>
        <v>44533.200000000004</v>
      </c>
      <c r="FP26" s="103"/>
      <c r="FQ26" s="15">
        <v>19</v>
      </c>
      <c r="FR26" s="562">
        <v>911.3</v>
      </c>
      <c r="FS26" s="231">
        <v>45125</v>
      </c>
      <c r="FT26" s="562">
        <v>911.3</v>
      </c>
      <c r="FU26" s="69" t="s">
        <v>629</v>
      </c>
      <c r="FV26" s="70">
        <v>0</v>
      </c>
      <c r="FW26" s="363">
        <f t="shared" si="22"/>
        <v>0</v>
      </c>
      <c r="FX26" s="70"/>
      <c r="FZ26" s="103"/>
      <c r="GA26" s="15">
        <v>19</v>
      </c>
      <c r="GB26" s="336">
        <v>908.1</v>
      </c>
      <c r="GC26" s="231">
        <v>45126</v>
      </c>
      <c r="GD26" s="336">
        <v>908.1</v>
      </c>
      <c r="GE26" s="94" t="s">
        <v>645</v>
      </c>
      <c r="GF26" s="70">
        <v>51</v>
      </c>
      <c r="GG26" s="363">
        <f t="shared" si="23"/>
        <v>46313.1</v>
      </c>
      <c r="GJ26" s="103"/>
      <c r="GK26" s="15">
        <v>19</v>
      </c>
      <c r="GL26" s="91">
        <v>939.8</v>
      </c>
      <c r="GM26" s="231">
        <v>45127</v>
      </c>
      <c r="GN26" s="91">
        <v>939.8</v>
      </c>
      <c r="GO26" s="94" t="s">
        <v>653</v>
      </c>
      <c r="GP26" s="70">
        <v>51</v>
      </c>
      <c r="GQ26" s="363">
        <f t="shared" si="24"/>
        <v>47929.799999999996</v>
      </c>
      <c r="GT26" s="103"/>
      <c r="GU26" s="15">
        <v>19</v>
      </c>
      <c r="GV26" s="91">
        <v>868.2</v>
      </c>
      <c r="GW26" s="231">
        <v>45128</v>
      </c>
      <c r="GX26" s="91">
        <v>868.2</v>
      </c>
      <c r="GY26" s="94" t="s">
        <v>666</v>
      </c>
      <c r="GZ26" s="70">
        <v>51</v>
      </c>
      <c r="HA26" s="363">
        <f t="shared" si="25"/>
        <v>44278.200000000004</v>
      </c>
      <c r="HD26" s="103"/>
      <c r="HE26" s="15">
        <v>19</v>
      </c>
      <c r="HF26" s="562">
        <v>899.9</v>
      </c>
      <c r="HG26" s="640">
        <v>45132</v>
      </c>
      <c r="HH26" s="562">
        <v>899.9</v>
      </c>
      <c r="HI26" s="693" t="s">
        <v>691</v>
      </c>
      <c r="HJ26" s="564">
        <v>0</v>
      </c>
      <c r="HK26" s="230">
        <f t="shared" si="26"/>
        <v>0</v>
      </c>
      <c r="HN26" s="202"/>
      <c r="HO26" s="624">
        <v>19</v>
      </c>
      <c r="HP26" s="562">
        <v>866.4</v>
      </c>
      <c r="HQ26" s="231">
        <v>45132</v>
      </c>
      <c r="HR26" s="562">
        <v>866.4</v>
      </c>
      <c r="HS26" s="278" t="s">
        <v>688</v>
      </c>
      <c r="HT26" s="70">
        <v>51</v>
      </c>
      <c r="HU26" s="230">
        <f t="shared" si="27"/>
        <v>44186.400000000001</v>
      </c>
      <c r="HX26" s="103"/>
      <c r="HY26" s="15">
        <v>19</v>
      </c>
      <c r="HZ26" s="565">
        <v>857.3</v>
      </c>
      <c r="IA26" s="646">
        <v>45133</v>
      </c>
      <c r="IB26" s="565">
        <v>857.3</v>
      </c>
      <c r="IC26" s="563" t="s">
        <v>701</v>
      </c>
      <c r="ID26" s="564">
        <v>51</v>
      </c>
      <c r="IE26" s="363">
        <f t="shared" si="6"/>
        <v>43722.299999999996</v>
      </c>
      <c r="IH26" s="103"/>
      <c r="II26" s="15">
        <v>19</v>
      </c>
      <c r="IJ26" s="68">
        <v>906.3</v>
      </c>
      <c r="IK26" s="238">
        <v>45134</v>
      </c>
      <c r="IL26" s="68">
        <v>906.3</v>
      </c>
      <c r="IM26" s="69" t="s">
        <v>712</v>
      </c>
      <c r="IN26" s="70">
        <v>51</v>
      </c>
      <c r="IO26" s="230">
        <f t="shared" si="28"/>
        <v>46221.299999999996</v>
      </c>
      <c r="IR26" s="103"/>
      <c r="IS26" s="15">
        <v>19</v>
      </c>
      <c r="IT26" s="68">
        <v>886.8</v>
      </c>
      <c r="IU26" s="238">
        <v>45135</v>
      </c>
      <c r="IV26" s="68">
        <v>886.8</v>
      </c>
      <c r="IW26" s="69" t="s">
        <v>719</v>
      </c>
      <c r="IX26" s="70">
        <v>51</v>
      </c>
      <c r="IY26" s="230">
        <f t="shared" si="29"/>
        <v>45226.799999999996</v>
      </c>
      <c r="JA26" s="68"/>
      <c r="JB26" s="103"/>
      <c r="JC26" s="15">
        <v>19</v>
      </c>
      <c r="JD26" s="91">
        <v>953.45</v>
      </c>
      <c r="JE26" s="238">
        <v>45136</v>
      </c>
      <c r="JF26" s="91">
        <v>953.45</v>
      </c>
      <c r="JG26" s="69" t="s">
        <v>729</v>
      </c>
      <c r="JH26" s="70">
        <v>51</v>
      </c>
      <c r="JI26" s="363">
        <f t="shared" si="30"/>
        <v>48625.950000000004</v>
      </c>
      <c r="JL26" s="103"/>
      <c r="JM26" s="15">
        <v>19</v>
      </c>
      <c r="JN26" s="91"/>
      <c r="JO26" s="231"/>
      <c r="JP26" s="91"/>
      <c r="JQ26" s="69"/>
      <c r="JR26" s="70"/>
      <c r="JS26" s="363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3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3">
        <f t="shared" si="33"/>
        <v>0</v>
      </c>
      <c r="KP26" s="93"/>
      <c r="KQ26" s="15">
        <v>19</v>
      </c>
      <c r="KR26" s="68"/>
      <c r="KS26" s="238"/>
      <c r="KT26" s="68"/>
      <c r="KU26" s="563"/>
      <c r="KV26" s="564"/>
      <c r="KW26" s="363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3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3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3">
        <f t="shared" si="37"/>
        <v>0</v>
      </c>
      <c r="MB26" s="363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101182180</v>
      </c>
      <c r="E27" s="131">
        <f t="shared" si="75"/>
        <v>45134</v>
      </c>
      <c r="F27" s="85">
        <f t="shared" si="75"/>
        <v>16855.38</v>
      </c>
      <c r="G27" s="72">
        <f t="shared" si="75"/>
        <v>19</v>
      </c>
      <c r="H27" s="48">
        <f t="shared" si="75"/>
        <v>17019.7</v>
      </c>
      <c r="I27" s="102">
        <f t="shared" si="75"/>
        <v>-164.31999999999971</v>
      </c>
      <c r="L27" s="93"/>
      <c r="M27" s="15">
        <v>20</v>
      </c>
      <c r="N27" s="68">
        <v>954.35</v>
      </c>
      <c r="O27" s="238">
        <v>45108</v>
      </c>
      <c r="P27" s="68">
        <v>954.35</v>
      </c>
      <c r="Q27" s="69" t="s">
        <v>304</v>
      </c>
      <c r="R27" s="70">
        <v>45</v>
      </c>
      <c r="S27" s="363">
        <f t="shared" si="8"/>
        <v>42945.75</v>
      </c>
      <c r="V27" s="93"/>
      <c r="W27" s="15">
        <v>20</v>
      </c>
      <c r="X27" s="565">
        <v>895</v>
      </c>
      <c r="Y27" s="646">
        <v>45111</v>
      </c>
      <c r="Z27" s="565">
        <v>895</v>
      </c>
      <c r="AA27" s="563" t="s">
        <v>505</v>
      </c>
      <c r="AB27" s="564">
        <v>42</v>
      </c>
      <c r="AC27" s="363">
        <f t="shared" si="9"/>
        <v>37590</v>
      </c>
      <c r="AF27" s="103"/>
      <c r="AG27" s="15">
        <v>20</v>
      </c>
      <c r="AH27" s="562">
        <v>926.7</v>
      </c>
      <c r="AI27" s="640">
        <v>45111</v>
      </c>
      <c r="AJ27" s="562">
        <v>926.7</v>
      </c>
      <c r="AK27" s="693" t="s">
        <v>502</v>
      </c>
      <c r="AL27" s="564">
        <v>45</v>
      </c>
      <c r="AM27" s="363">
        <f t="shared" si="10"/>
        <v>41701.5</v>
      </c>
      <c r="AP27" s="103"/>
      <c r="AQ27" s="15">
        <v>20</v>
      </c>
      <c r="AR27" s="562">
        <v>904</v>
      </c>
      <c r="AS27" s="640">
        <v>45111</v>
      </c>
      <c r="AT27" s="562">
        <v>904</v>
      </c>
      <c r="AU27" s="693" t="s">
        <v>511</v>
      </c>
      <c r="AV27" s="564">
        <v>45</v>
      </c>
      <c r="AW27" s="363">
        <f t="shared" si="11"/>
        <v>40680</v>
      </c>
      <c r="AZ27" s="103"/>
      <c r="BA27" s="15">
        <v>20</v>
      </c>
      <c r="BB27" s="91"/>
      <c r="BC27" s="231"/>
      <c r="BD27" s="91"/>
      <c r="BE27" s="94"/>
      <c r="BF27" s="70"/>
      <c r="BG27" s="363">
        <f t="shared" si="12"/>
        <v>0</v>
      </c>
      <c r="BJ27" s="103"/>
      <c r="BK27" s="15">
        <v>20</v>
      </c>
      <c r="BL27" s="91">
        <v>899</v>
      </c>
      <c r="BM27" s="231">
        <v>45115</v>
      </c>
      <c r="BN27" s="91">
        <v>899</v>
      </c>
      <c r="BO27" s="94" t="s">
        <v>533</v>
      </c>
      <c r="BP27" s="70">
        <v>46</v>
      </c>
      <c r="BQ27" s="440">
        <f t="shared" si="13"/>
        <v>41354</v>
      </c>
      <c r="BR27" s="363"/>
      <c r="BT27" s="103"/>
      <c r="BU27" s="15">
        <v>20</v>
      </c>
      <c r="BV27" s="68">
        <v>918.1</v>
      </c>
      <c r="BW27" s="275">
        <v>45113</v>
      </c>
      <c r="BX27" s="565">
        <v>918.1</v>
      </c>
      <c r="BY27" s="505" t="s">
        <v>522</v>
      </c>
      <c r="BZ27" s="276">
        <v>45</v>
      </c>
      <c r="CA27" s="363">
        <f t="shared" si="5"/>
        <v>41314.5</v>
      </c>
      <c r="CD27" s="202"/>
      <c r="CE27" s="15">
        <v>20</v>
      </c>
      <c r="CF27" s="91">
        <v>902.6</v>
      </c>
      <c r="CG27" s="275">
        <v>45115</v>
      </c>
      <c r="CH27" s="91">
        <v>902.6</v>
      </c>
      <c r="CI27" s="277" t="s">
        <v>547</v>
      </c>
      <c r="CJ27" s="276">
        <v>46</v>
      </c>
      <c r="CK27" s="363">
        <f t="shared" si="14"/>
        <v>41519.599999999999</v>
      </c>
      <c r="CN27" s="378"/>
      <c r="CO27" s="15">
        <v>20</v>
      </c>
      <c r="CP27" s="562">
        <v>882.2</v>
      </c>
      <c r="CQ27" s="586">
        <v>45118</v>
      </c>
      <c r="CR27" s="562">
        <v>882.2</v>
      </c>
      <c r="CS27" s="587" t="s">
        <v>564</v>
      </c>
      <c r="CT27" s="276">
        <v>47</v>
      </c>
      <c r="CU27" s="368">
        <f t="shared" si="58"/>
        <v>41463.4</v>
      </c>
      <c r="CX27" s="103"/>
      <c r="CY27" s="15">
        <v>20</v>
      </c>
      <c r="CZ27" s="562">
        <v>854.5</v>
      </c>
      <c r="DA27" s="640">
        <v>45118</v>
      </c>
      <c r="DB27" s="562">
        <v>854.5</v>
      </c>
      <c r="DC27" s="693" t="s">
        <v>569</v>
      </c>
      <c r="DD27" s="564">
        <v>42</v>
      </c>
      <c r="DE27" s="363">
        <f t="shared" si="15"/>
        <v>35889</v>
      </c>
      <c r="DH27" s="103"/>
      <c r="DI27" s="15">
        <v>20</v>
      </c>
      <c r="DJ27" s="562"/>
      <c r="DK27" s="586"/>
      <c r="DL27" s="562"/>
      <c r="DM27" s="587"/>
      <c r="DN27" s="588"/>
      <c r="DO27" s="368">
        <f t="shared" si="16"/>
        <v>0</v>
      </c>
      <c r="DR27" s="103"/>
      <c r="DS27" s="15">
        <v>20</v>
      </c>
      <c r="DT27" s="562"/>
      <c r="DU27" s="586"/>
      <c r="DV27" s="562"/>
      <c r="DW27" s="587"/>
      <c r="DX27" s="588"/>
      <c r="DY27" s="363">
        <f t="shared" si="17"/>
        <v>0</v>
      </c>
      <c r="EB27" s="103"/>
      <c r="EC27" s="15">
        <v>20</v>
      </c>
      <c r="ED27" s="68">
        <v>932.6</v>
      </c>
      <c r="EE27" s="238">
        <v>45120</v>
      </c>
      <c r="EF27" s="68">
        <v>932.6</v>
      </c>
      <c r="EG27" s="69" t="s">
        <v>592</v>
      </c>
      <c r="EH27" s="70">
        <v>48</v>
      </c>
      <c r="EI27" s="363">
        <f t="shared" si="18"/>
        <v>44764.800000000003</v>
      </c>
      <c r="EL27" s="103"/>
      <c r="EM27" s="15">
        <v>20</v>
      </c>
      <c r="EN27" s="68">
        <v>919.9</v>
      </c>
      <c r="EO27" s="238">
        <v>45121</v>
      </c>
      <c r="EP27" s="68">
        <v>919.9</v>
      </c>
      <c r="EQ27" s="69" t="s">
        <v>591</v>
      </c>
      <c r="ER27" s="70">
        <v>49</v>
      </c>
      <c r="ES27" s="363">
        <f t="shared" si="19"/>
        <v>45075.1</v>
      </c>
      <c r="EV27" s="93"/>
      <c r="EW27" s="15">
        <v>20</v>
      </c>
      <c r="EX27" s="562">
        <v>925.3</v>
      </c>
      <c r="EY27" s="640">
        <v>45122</v>
      </c>
      <c r="EZ27" s="562">
        <v>925.3</v>
      </c>
      <c r="FA27" s="563" t="s">
        <v>611</v>
      </c>
      <c r="FB27" s="564">
        <v>51</v>
      </c>
      <c r="FC27" s="363">
        <f t="shared" si="20"/>
        <v>47190.299999999996</v>
      </c>
      <c r="FF27" s="93"/>
      <c r="FG27" s="15">
        <v>20</v>
      </c>
      <c r="FH27" s="562">
        <v>885</v>
      </c>
      <c r="FI27" s="640">
        <v>45125</v>
      </c>
      <c r="FJ27" s="562">
        <v>885</v>
      </c>
      <c r="FK27" s="563" t="s">
        <v>635</v>
      </c>
      <c r="FL27" s="564">
        <v>51</v>
      </c>
      <c r="FM27" s="230">
        <f t="shared" si="21"/>
        <v>45135</v>
      </c>
      <c r="FP27" s="103"/>
      <c r="FQ27" s="15">
        <v>20</v>
      </c>
      <c r="FR27" s="562">
        <v>896.3</v>
      </c>
      <c r="FS27" s="231">
        <v>45125</v>
      </c>
      <c r="FT27" s="562">
        <v>896.3</v>
      </c>
      <c r="FU27" s="69" t="s">
        <v>629</v>
      </c>
      <c r="FV27" s="70">
        <v>0</v>
      </c>
      <c r="FW27" s="363">
        <f t="shared" si="22"/>
        <v>0</v>
      </c>
      <c r="FX27" s="70"/>
      <c r="FZ27" s="103"/>
      <c r="GA27" s="15">
        <v>20</v>
      </c>
      <c r="GB27" s="336">
        <v>908.1</v>
      </c>
      <c r="GC27" s="231">
        <v>45126</v>
      </c>
      <c r="GD27" s="336">
        <v>908.1</v>
      </c>
      <c r="GE27" s="94" t="s">
        <v>645</v>
      </c>
      <c r="GF27" s="70">
        <v>51</v>
      </c>
      <c r="GG27" s="363">
        <f t="shared" si="23"/>
        <v>46313.1</v>
      </c>
      <c r="GJ27" s="103"/>
      <c r="GK27" s="15">
        <v>20</v>
      </c>
      <c r="GL27" s="91">
        <v>928.5</v>
      </c>
      <c r="GM27" s="231">
        <v>45127</v>
      </c>
      <c r="GN27" s="91">
        <v>928.5</v>
      </c>
      <c r="GO27" s="94" t="s">
        <v>653</v>
      </c>
      <c r="GP27" s="70">
        <v>51</v>
      </c>
      <c r="GQ27" s="363">
        <f t="shared" si="24"/>
        <v>47353.5</v>
      </c>
      <c r="GT27" s="103"/>
      <c r="GU27" s="15">
        <v>20</v>
      </c>
      <c r="GV27" s="91">
        <v>899</v>
      </c>
      <c r="GW27" s="231">
        <v>45128</v>
      </c>
      <c r="GX27" s="91">
        <v>899</v>
      </c>
      <c r="GY27" s="94" t="s">
        <v>666</v>
      </c>
      <c r="GZ27" s="70">
        <v>51</v>
      </c>
      <c r="HA27" s="363">
        <f t="shared" si="25"/>
        <v>45849</v>
      </c>
      <c r="HD27" s="103"/>
      <c r="HE27" s="15">
        <v>20</v>
      </c>
      <c r="HF27" s="562">
        <v>880.9</v>
      </c>
      <c r="HG27" s="640">
        <v>45132</v>
      </c>
      <c r="HH27" s="562">
        <v>880.9</v>
      </c>
      <c r="HI27" s="693" t="s">
        <v>691</v>
      </c>
      <c r="HJ27" s="564">
        <v>0</v>
      </c>
      <c r="HK27" s="230">
        <f t="shared" si="26"/>
        <v>0</v>
      </c>
      <c r="HN27" s="202"/>
      <c r="HO27" s="624">
        <v>20</v>
      </c>
      <c r="HP27" s="562">
        <v>934.4</v>
      </c>
      <c r="HQ27" s="231">
        <v>45132</v>
      </c>
      <c r="HR27" s="562">
        <v>934.4</v>
      </c>
      <c r="HS27" s="278" t="s">
        <v>688</v>
      </c>
      <c r="HT27" s="70">
        <v>51</v>
      </c>
      <c r="HU27" s="230">
        <f t="shared" si="27"/>
        <v>47654.400000000001</v>
      </c>
      <c r="HX27" s="103"/>
      <c r="HY27" s="15">
        <v>20</v>
      </c>
      <c r="HZ27" s="565">
        <v>860.9</v>
      </c>
      <c r="IA27" s="646">
        <v>45133</v>
      </c>
      <c r="IB27" s="565">
        <v>860.9</v>
      </c>
      <c r="IC27" s="563" t="s">
        <v>701</v>
      </c>
      <c r="ID27" s="564">
        <v>51</v>
      </c>
      <c r="IE27" s="363">
        <f t="shared" si="6"/>
        <v>43905.9</v>
      </c>
      <c r="IH27" s="103"/>
      <c r="II27" s="15">
        <v>20</v>
      </c>
      <c r="IJ27" s="68"/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873.2</v>
      </c>
      <c r="IU27" s="238">
        <v>45135</v>
      </c>
      <c r="IV27" s="68">
        <v>873.2</v>
      </c>
      <c r="IW27" s="69" t="s">
        <v>719</v>
      </c>
      <c r="IX27" s="70">
        <v>51</v>
      </c>
      <c r="IY27" s="230">
        <f t="shared" si="29"/>
        <v>44533.200000000004</v>
      </c>
      <c r="JA27" s="68"/>
      <c r="JB27" s="103"/>
      <c r="JC27" s="15">
        <v>20</v>
      </c>
      <c r="JD27" s="91">
        <v>952.54</v>
      </c>
      <c r="JE27" s="238">
        <v>45136</v>
      </c>
      <c r="JF27" s="91">
        <v>952.54</v>
      </c>
      <c r="JG27" s="69" t="s">
        <v>726</v>
      </c>
      <c r="JH27" s="70">
        <v>51</v>
      </c>
      <c r="JI27" s="363">
        <f t="shared" si="30"/>
        <v>48579.54</v>
      </c>
      <c r="JL27" s="103"/>
      <c r="JM27" s="15">
        <v>20</v>
      </c>
      <c r="JN27" s="91"/>
      <c r="JO27" s="231"/>
      <c r="JP27" s="91"/>
      <c r="JQ27" s="69"/>
      <c r="JR27" s="70"/>
      <c r="JS27" s="363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3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3">
        <f t="shared" si="33"/>
        <v>0</v>
      </c>
      <c r="KP27" s="93"/>
      <c r="KQ27" s="15">
        <v>20</v>
      </c>
      <c r="KR27" s="68"/>
      <c r="KS27" s="238"/>
      <c r="KT27" s="68"/>
      <c r="KU27" s="563"/>
      <c r="KV27" s="564"/>
      <c r="KW27" s="363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3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3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3">
        <f t="shared" si="37"/>
        <v>0</v>
      </c>
      <c r="MB27" s="363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101220112</v>
      </c>
      <c r="E28" s="131">
        <f t="shared" si="76"/>
        <v>45135</v>
      </c>
      <c r="F28" s="85">
        <f t="shared" si="76"/>
        <v>18995.7</v>
      </c>
      <c r="G28" s="72">
        <f t="shared" si="76"/>
        <v>21</v>
      </c>
      <c r="H28" s="48">
        <f t="shared" si="76"/>
        <v>19128.3</v>
      </c>
      <c r="I28" s="102">
        <f t="shared" si="76"/>
        <v>-132.59999999999854</v>
      </c>
      <c r="L28" s="93"/>
      <c r="M28" s="15">
        <v>21</v>
      </c>
      <c r="N28" s="68"/>
      <c r="O28" s="238"/>
      <c r="P28" s="68"/>
      <c r="Q28" s="69"/>
      <c r="R28" s="70"/>
      <c r="S28" s="363">
        <f t="shared" si="8"/>
        <v>0</v>
      </c>
      <c r="V28" s="93"/>
      <c r="W28" s="15">
        <v>21</v>
      </c>
      <c r="X28" s="565">
        <v>800</v>
      </c>
      <c r="Y28" s="646">
        <v>45111</v>
      </c>
      <c r="Z28" s="565">
        <v>800</v>
      </c>
      <c r="AA28" s="563" t="s">
        <v>505</v>
      </c>
      <c r="AB28" s="564">
        <v>42</v>
      </c>
      <c r="AC28" s="363">
        <f t="shared" si="9"/>
        <v>33600</v>
      </c>
      <c r="AF28" s="103"/>
      <c r="AG28" s="15">
        <v>21</v>
      </c>
      <c r="AH28" s="562">
        <v>907.2</v>
      </c>
      <c r="AI28" s="640">
        <v>45111</v>
      </c>
      <c r="AJ28" s="562">
        <v>907.2</v>
      </c>
      <c r="AK28" s="693" t="s">
        <v>503</v>
      </c>
      <c r="AL28" s="564">
        <v>45</v>
      </c>
      <c r="AM28" s="363">
        <f t="shared" si="10"/>
        <v>40824</v>
      </c>
      <c r="AP28" s="103"/>
      <c r="AQ28" s="15">
        <v>21</v>
      </c>
      <c r="AR28" s="562">
        <v>940.3</v>
      </c>
      <c r="AS28" s="640">
        <v>45112</v>
      </c>
      <c r="AT28" s="562">
        <v>940.3</v>
      </c>
      <c r="AU28" s="693" t="s">
        <v>514</v>
      </c>
      <c r="AV28" s="564">
        <v>45</v>
      </c>
      <c r="AW28" s="363">
        <f t="shared" si="11"/>
        <v>42313.5</v>
      </c>
      <c r="AZ28" s="103"/>
      <c r="BA28" s="15">
        <v>21</v>
      </c>
      <c r="BB28" s="91"/>
      <c r="BC28" s="231"/>
      <c r="BD28" s="91"/>
      <c r="BE28" s="94"/>
      <c r="BF28" s="70"/>
      <c r="BG28" s="363">
        <f t="shared" si="12"/>
        <v>0</v>
      </c>
      <c r="BJ28" s="103"/>
      <c r="BK28" s="15">
        <v>21</v>
      </c>
      <c r="BL28" s="91">
        <v>929</v>
      </c>
      <c r="BM28" s="231">
        <v>45115</v>
      </c>
      <c r="BN28" s="91">
        <v>929</v>
      </c>
      <c r="BO28" s="94" t="s">
        <v>548</v>
      </c>
      <c r="BP28" s="70">
        <v>46</v>
      </c>
      <c r="BQ28" s="373">
        <f t="shared" si="13"/>
        <v>42734</v>
      </c>
      <c r="BR28" s="363"/>
      <c r="BT28" s="103"/>
      <c r="BU28" s="15">
        <v>21</v>
      </c>
      <c r="BV28" s="286">
        <v>938.8</v>
      </c>
      <c r="BW28" s="275">
        <v>45113</v>
      </c>
      <c r="BX28" s="1495">
        <v>938.8</v>
      </c>
      <c r="BY28" s="505" t="s">
        <v>522</v>
      </c>
      <c r="BZ28" s="276">
        <v>45</v>
      </c>
      <c r="CA28" s="363">
        <f t="shared" si="5"/>
        <v>42246</v>
      </c>
      <c r="CD28" s="448"/>
      <c r="CE28" s="15">
        <v>21</v>
      </c>
      <c r="CF28" s="91">
        <v>916.3</v>
      </c>
      <c r="CG28" s="275">
        <v>45115</v>
      </c>
      <c r="CH28" s="91">
        <v>916.3</v>
      </c>
      <c r="CI28" s="277" t="s">
        <v>547</v>
      </c>
      <c r="CJ28" s="276">
        <v>46</v>
      </c>
      <c r="CK28" s="363">
        <f t="shared" si="14"/>
        <v>42149.799999999996</v>
      </c>
      <c r="CN28" s="378"/>
      <c r="CO28" s="15">
        <v>21</v>
      </c>
      <c r="CP28" s="91">
        <v>889.8</v>
      </c>
      <c r="CQ28" s="586">
        <v>45118</v>
      </c>
      <c r="CR28" s="91">
        <v>889.8</v>
      </c>
      <c r="CS28" s="587" t="s">
        <v>564</v>
      </c>
      <c r="CT28" s="276">
        <v>47</v>
      </c>
      <c r="CU28" s="368">
        <f t="shared" si="58"/>
        <v>41820.6</v>
      </c>
      <c r="CX28" s="103"/>
      <c r="CY28" s="15">
        <v>21</v>
      </c>
      <c r="CZ28" s="562">
        <v>861</v>
      </c>
      <c r="DA28" s="640">
        <v>45118</v>
      </c>
      <c r="DB28" s="562">
        <v>861</v>
      </c>
      <c r="DC28" s="693" t="s">
        <v>569</v>
      </c>
      <c r="DD28" s="564">
        <v>42</v>
      </c>
      <c r="DE28" s="363">
        <f t="shared" si="15"/>
        <v>36162</v>
      </c>
      <c r="DH28" s="103"/>
      <c r="DI28" s="15">
        <v>21</v>
      </c>
      <c r="DJ28" s="562"/>
      <c r="DK28" s="586"/>
      <c r="DL28" s="562"/>
      <c r="DM28" s="587"/>
      <c r="DN28" s="588"/>
      <c r="DO28" s="368">
        <f t="shared" si="16"/>
        <v>0</v>
      </c>
      <c r="DR28" s="103"/>
      <c r="DS28" s="15">
        <v>21</v>
      </c>
      <c r="DT28" s="562"/>
      <c r="DU28" s="586"/>
      <c r="DV28" s="562"/>
      <c r="DW28" s="587"/>
      <c r="DX28" s="588"/>
      <c r="DY28" s="363">
        <f t="shared" si="17"/>
        <v>0</v>
      </c>
      <c r="EB28" s="103"/>
      <c r="EC28" s="15">
        <v>21</v>
      </c>
      <c r="ED28" s="68">
        <v>868.2</v>
      </c>
      <c r="EE28" s="238">
        <v>45120</v>
      </c>
      <c r="EF28" s="68">
        <v>868.2</v>
      </c>
      <c r="EG28" s="69" t="s">
        <v>592</v>
      </c>
      <c r="EH28" s="70">
        <v>48</v>
      </c>
      <c r="EI28" s="363">
        <f t="shared" si="18"/>
        <v>41673.600000000006</v>
      </c>
      <c r="EL28" s="103"/>
      <c r="EM28" s="15">
        <v>21</v>
      </c>
      <c r="EN28" s="68">
        <v>919.9</v>
      </c>
      <c r="EO28" s="238">
        <v>45121</v>
      </c>
      <c r="EP28" s="68">
        <v>919.9</v>
      </c>
      <c r="EQ28" s="69" t="s">
        <v>591</v>
      </c>
      <c r="ER28" s="70">
        <v>49</v>
      </c>
      <c r="ES28" s="363">
        <f t="shared" si="19"/>
        <v>45075.1</v>
      </c>
      <c r="EV28" s="93"/>
      <c r="EW28" s="15">
        <v>21</v>
      </c>
      <c r="EX28" s="562"/>
      <c r="EY28" s="640"/>
      <c r="EZ28" s="562"/>
      <c r="FA28" s="563"/>
      <c r="FB28" s="564"/>
      <c r="FC28" s="363">
        <f t="shared" si="20"/>
        <v>0</v>
      </c>
      <c r="FF28" s="93"/>
      <c r="FG28" s="15">
        <v>21</v>
      </c>
      <c r="FH28" s="562">
        <v>887.7</v>
      </c>
      <c r="FI28" s="640">
        <v>45125</v>
      </c>
      <c r="FJ28" s="562">
        <v>887.7</v>
      </c>
      <c r="FK28" s="563" t="s">
        <v>635</v>
      </c>
      <c r="FL28" s="564">
        <v>51</v>
      </c>
      <c r="FM28" s="230">
        <f t="shared" si="21"/>
        <v>45272.700000000004</v>
      </c>
      <c r="FP28" s="103"/>
      <c r="FQ28" s="15">
        <v>21</v>
      </c>
      <c r="FR28" s="91">
        <v>909.9</v>
      </c>
      <c r="FS28" s="231">
        <v>45125</v>
      </c>
      <c r="FT28" s="91">
        <v>909.9</v>
      </c>
      <c r="FU28" s="69" t="s">
        <v>629</v>
      </c>
      <c r="FV28" s="70">
        <v>0</v>
      </c>
      <c r="FW28" s="363">
        <f t="shared" si="22"/>
        <v>0</v>
      </c>
      <c r="FX28" s="70"/>
      <c r="FZ28" s="103"/>
      <c r="GA28" s="15">
        <v>21</v>
      </c>
      <c r="GB28" s="336">
        <v>919</v>
      </c>
      <c r="GC28" s="231">
        <v>45126</v>
      </c>
      <c r="GD28" s="336">
        <v>919</v>
      </c>
      <c r="GE28" s="94" t="s">
        <v>645</v>
      </c>
      <c r="GF28" s="70">
        <v>51</v>
      </c>
      <c r="GG28" s="363">
        <f t="shared" si="23"/>
        <v>46869</v>
      </c>
      <c r="GJ28" s="103"/>
      <c r="GK28" s="15">
        <v>21</v>
      </c>
      <c r="GL28" s="91">
        <v>887.7</v>
      </c>
      <c r="GM28" s="231">
        <v>45127</v>
      </c>
      <c r="GN28" s="91">
        <v>887.7</v>
      </c>
      <c r="GO28" s="94" t="s">
        <v>653</v>
      </c>
      <c r="GP28" s="70">
        <v>51</v>
      </c>
      <c r="GQ28" s="363">
        <f t="shared" si="24"/>
        <v>45272.700000000004</v>
      </c>
      <c r="GT28" s="103"/>
      <c r="GU28" s="15">
        <v>21</v>
      </c>
      <c r="GV28" s="91">
        <v>914.4</v>
      </c>
      <c r="GW28" s="231">
        <v>45128</v>
      </c>
      <c r="GX28" s="91">
        <v>914.4</v>
      </c>
      <c r="GY28" s="94" t="s">
        <v>666</v>
      </c>
      <c r="GZ28" s="70">
        <v>51</v>
      </c>
      <c r="HA28" s="363">
        <f t="shared" si="25"/>
        <v>46634.400000000001</v>
      </c>
      <c r="HD28" s="103"/>
      <c r="HE28" s="15">
        <v>21</v>
      </c>
      <c r="HF28" s="562">
        <v>879.1</v>
      </c>
      <c r="HG28" s="640">
        <v>45132</v>
      </c>
      <c r="HH28" s="562">
        <v>879.1</v>
      </c>
      <c r="HI28" s="693" t="s">
        <v>691</v>
      </c>
      <c r="HJ28" s="564">
        <v>0</v>
      </c>
      <c r="HK28" s="230">
        <f t="shared" si="26"/>
        <v>0</v>
      </c>
      <c r="HN28" s="103"/>
      <c r="HO28" s="15">
        <v>21</v>
      </c>
      <c r="HP28" s="91">
        <v>866.4</v>
      </c>
      <c r="HQ28" s="231">
        <v>45132</v>
      </c>
      <c r="HR28" s="91">
        <v>866.4</v>
      </c>
      <c r="HS28" s="278" t="s">
        <v>688</v>
      </c>
      <c r="HT28" s="70">
        <v>51</v>
      </c>
      <c r="HU28" s="363">
        <f t="shared" si="27"/>
        <v>44186.400000000001</v>
      </c>
      <c r="HX28" s="103"/>
      <c r="HY28" s="15">
        <v>21</v>
      </c>
      <c r="HZ28" s="565">
        <v>813.7</v>
      </c>
      <c r="IA28" s="646">
        <v>45133</v>
      </c>
      <c r="IB28" s="565">
        <v>813.7</v>
      </c>
      <c r="IC28" s="563" t="s">
        <v>701</v>
      </c>
      <c r="ID28" s="564">
        <v>51</v>
      </c>
      <c r="IE28" s="363">
        <f t="shared" si="6"/>
        <v>41498.700000000004</v>
      </c>
      <c r="IH28" s="103"/>
      <c r="II28" s="15">
        <v>21</v>
      </c>
      <c r="IJ28" s="68"/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883.6</v>
      </c>
      <c r="IU28" s="238">
        <v>45135</v>
      </c>
      <c r="IV28" s="68">
        <v>883.6</v>
      </c>
      <c r="IW28" s="69" t="s">
        <v>719</v>
      </c>
      <c r="IX28" s="70">
        <v>51</v>
      </c>
      <c r="IY28" s="230">
        <f t="shared" si="29"/>
        <v>45063.6</v>
      </c>
      <c r="JA28" s="68"/>
      <c r="JB28" s="103"/>
      <c r="JC28" s="15">
        <v>21</v>
      </c>
      <c r="JD28" s="68"/>
      <c r="JE28" s="238"/>
      <c r="JF28" s="565"/>
      <c r="JG28" s="69"/>
      <c r="JH28" s="70"/>
      <c r="JI28" s="363">
        <f t="shared" si="30"/>
        <v>0</v>
      </c>
      <c r="JL28" s="103"/>
      <c r="JM28" s="15">
        <v>21</v>
      </c>
      <c r="JN28" s="91"/>
      <c r="JO28" s="231"/>
      <c r="JP28" s="562"/>
      <c r="JQ28" s="69"/>
      <c r="JR28" s="70"/>
      <c r="JS28" s="363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3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3">
        <f t="shared" si="33"/>
        <v>0</v>
      </c>
      <c r="KP28" s="93"/>
      <c r="KQ28" s="15">
        <v>21</v>
      </c>
      <c r="KR28" s="68"/>
      <c r="KS28" s="238"/>
      <c r="KT28" s="68"/>
      <c r="KU28" s="563"/>
      <c r="KV28" s="564"/>
      <c r="KW28" s="363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3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3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3">
        <f t="shared" si="37"/>
        <v>0</v>
      </c>
      <c r="MB28" s="363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SAM FARMS LLC</v>
      </c>
      <c r="C29" s="74" t="str">
        <f t="shared" si="77"/>
        <v xml:space="preserve">I B P </v>
      </c>
      <c r="D29" s="99" t="str">
        <f t="shared" si="77"/>
        <v>PED. 101226747</v>
      </c>
      <c r="E29" s="131">
        <f t="shared" si="77"/>
        <v>45135</v>
      </c>
      <c r="F29" s="85">
        <f t="shared" si="77"/>
        <v>18725.68</v>
      </c>
      <c r="G29" s="72">
        <f t="shared" si="77"/>
        <v>20</v>
      </c>
      <c r="H29" s="48">
        <f t="shared" si="77"/>
        <v>18767.75</v>
      </c>
      <c r="I29" s="102">
        <f t="shared" si="77"/>
        <v>-42.069999999999709</v>
      </c>
      <c r="L29" s="103"/>
      <c r="M29" s="15"/>
      <c r="N29" s="68"/>
      <c r="O29" s="238"/>
      <c r="P29" s="68"/>
      <c r="Q29" s="69"/>
      <c r="R29" s="70"/>
      <c r="S29" s="363">
        <f>SUM(S8:S28)</f>
        <v>852060.15</v>
      </c>
      <c r="V29" s="103"/>
      <c r="W29" s="15">
        <v>22</v>
      </c>
      <c r="X29" s="68">
        <v>872</v>
      </c>
      <c r="Y29" s="646">
        <v>45111</v>
      </c>
      <c r="Z29" s="68">
        <v>872</v>
      </c>
      <c r="AA29" s="563" t="s">
        <v>505</v>
      </c>
      <c r="AB29" s="564">
        <v>42</v>
      </c>
      <c r="AC29" s="363">
        <f>SUM(AC8:AC28)</f>
        <v>710661</v>
      </c>
      <c r="AF29" s="103"/>
      <c r="AG29" s="15"/>
      <c r="AH29" s="562"/>
      <c r="AI29" s="640"/>
      <c r="AJ29" s="562"/>
      <c r="AK29" s="693"/>
      <c r="AL29" s="564"/>
      <c r="AM29" s="363">
        <f>AL29*AJ29</f>
        <v>0</v>
      </c>
      <c r="AP29" s="103"/>
      <c r="AQ29" s="15"/>
      <c r="AR29" s="562"/>
      <c r="AS29" s="640"/>
      <c r="AT29" s="562"/>
      <c r="AU29" s="693"/>
      <c r="AV29" s="564"/>
      <c r="AW29" s="363">
        <f t="shared" si="11"/>
        <v>0</v>
      </c>
      <c r="AZ29" s="103"/>
      <c r="BA29" s="15"/>
      <c r="BB29" s="91"/>
      <c r="BC29" s="231"/>
      <c r="BD29" s="91"/>
      <c r="BE29" s="94"/>
      <c r="BF29" s="70"/>
      <c r="BG29" s="363">
        <f t="shared" si="12"/>
        <v>0</v>
      </c>
      <c r="BJ29" s="103"/>
      <c r="BK29" s="15"/>
      <c r="BL29" s="91" t="s">
        <v>41</v>
      </c>
      <c r="BM29" s="231"/>
      <c r="BN29" s="91"/>
      <c r="BO29" s="94"/>
      <c r="BP29" s="70"/>
      <c r="BQ29" s="373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3">
        <v>0</v>
      </c>
      <c r="CD29" s="103"/>
      <c r="CE29" s="15">
        <v>22</v>
      </c>
      <c r="CF29" s="91"/>
      <c r="CG29" s="275"/>
      <c r="CH29" s="91"/>
      <c r="CI29" s="284"/>
      <c r="CJ29" s="276"/>
      <c r="CK29" s="363">
        <f t="shared" si="14"/>
        <v>0</v>
      </c>
      <c r="CN29" s="378"/>
      <c r="CO29" s="15">
        <v>22</v>
      </c>
      <c r="CP29" s="91"/>
      <c r="CQ29" s="275"/>
      <c r="CR29" s="91"/>
      <c r="CS29" s="277"/>
      <c r="CT29" s="276"/>
      <c r="CU29" s="368">
        <f t="shared" si="58"/>
        <v>0</v>
      </c>
      <c r="CX29" s="103"/>
      <c r="CY29" s="15">
        <v>22</v>
      </c>
      <c r="CZ29" s="91">
        <v>871</v>
      </c>
      <c r="DA29" s="640">
        <v>45118</v>
      </c>
      <c r="DB29" s="91">
        <v>871</v>
      </c>
      <c r="DC29" s="693" t="s">
        <v>569</v>
      </c>
      <c r="DD29" s="564">
        <v>42</v>
      </c>
      <c r="DE29" s="363">
        <f t="shared" si="15"/>
        <v>36582</v>
      </c>
      <c r="DH29" s="103"/>
      <c r="DI29" s="15"/>
      <c r="DJ29" s="91"/>
      <c r="DK29" s="231"/>
      <c r="DL29" s="91"/>
      <c r="DM29" s="94"/>
      <c r="DN29" s="70"/>
      <c r="DO29" s="368">
        <f t="shared" si="16"/>
        <v>0</v>
      </c>
      <c r="DR29" s="93"/>
      <c r="DS29" s="15">
        <v>22</v>
      </c>
      <c r="DT29" s="562"/>
      <c r="DU29" s="640"/>
      <c r="DV29" s="562"/>
      <c r="DW29" s="693"/>
      <c r="DX29" s="564"/>
      <c r="DY29" s="363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3">
        <f>SUM(EI8:EI28)</f>
        <v>909206.39999999991</v>
      </c>
      <c r="EL29" s="103"/>
      <c r="EM29" s="15">
        <v>22</v>
      </c>
      <c r="EN29" s="68"/>
      <c r="EO29" s="238"/>
      <c r="EP29" s="68"/>
      <c r="EQ29" s="69"/>
      <c r="ER29" s="70"/>
      <c r="ES29" s="363">
        <f>SUM(ES8:ES28)</f>
        <v>931534.1</v>
      </c>
      <c r="EV29" s="93"/>
      <c r="EW29" s="15">
        <v>22</v>
      </c>
      <c r="EX29" s="562"/>
      <c r="EY29" s="640"/>
      <c r="EZ29" s="562"/>
      <c r="FA29" s="563"/>
      <c r="FB29" s="564"/>
      <c r="FC29" s="363">
        <f t="shared" si="20"/>
        <v>0</v>
      </c>
      <c r="FF29" s="93"/>
      <c r="FG29" s="15">
        <v>22</v>
      </c>
      <c r="FH29" s="562"/>
      <c r="FI29" s="640"/>
      <c r="FJ29" s="562"/>
      <c r="FK29" s="563"/>
      <c r="FL29" s="564"/>
      <c r="FM29" s="363">
        <f t="shared" si="21"/>
        <v>0</v>
      </c>
      <c r="FP29" s="103"/>
      <c r="FQ29" s="15">
        <v>22</v>
      </c>
      <c r="FR29" s="91"/>
      <c r="FS29" s="231"/>
      <c r="FT29" s="91"/>
      <c r="FU29" s="69"/>
      <c r="FV29" s="70"/>
      <c r="FW29" s="363">
        <f t="shared" si="22"/>
        <v>0</v>
      </c>
      <c r="FZ29" s="103"/>
      <c r="GA29" s="15"/>
      <c r="GB29" s="336"/>
      <c r="GC29" s="231"/>
      <c r="GD29" s="91"/>
      <c r="GE29" s="94"/>
      <c r="GF29" s="70"/>
      <c r="GG29" s="363">
        <f t="shared" si="23"/>
        <v>0</v>
      </c>
      <c r="GJ29" s="103" t="s">
        <v>40</v>
      </c>
      <c r="GK29" s="15">
        <v>22</v>
      </c>
      <c r="GL29" s="91"/>
      <c r="GM29" s="231"/>
      <c r="GN29" s="91"/>
      <c r="GO29" s="94"/>
      <c r="GP29" s="70"/>
      <c r="GQ29" s="363">
        <f>SUM(GQ8:GQ28)</f>
        <v>970983.9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3">
        <f>SUM(HA8:HA28)</f>
        <v>957060.89999999991</v>
      </c>
      <c r="HD29" s="103"/>
      <c r="HE29" s="15"/>
      <c r="HF29" s="562"/>
      <c r="HG29" s="640"/>
      <c r="HH29" s="562"/>
      <c r="HI29" s="693"/>
      <c r="HJ29" s="564"/>
      <c r="HK29" s="363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3">
        <f t="shared" si="27"/>
        <v>0</v>
      </c>
      <c r="HX29" s="103"/>
      <c r="HY29" s="15">
        <v>22</v>
      </c>
      <c r="HZ29" s="565">
        <v>802.9</v>
      </c>
      <c r="IA29" s="646">
        <v>45133</v>
      </c>
      <c r="IB29" s="565">
        <v>802.9</v>
      </c>
      <c r="IC29" s="563" t="s">
        <v>701</v>
      </c>
      <c r="ID29" s="564">
        <v>51</v>
      </c>
      <c r="IE29" s="363">
        <f>ID29*IB29</f>
        <v>40947.9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3">
        <f t="shared" si="30"/>
        <v>0</v>
      </c>
      <c r="JL29" s="103"/>
      <c r="JM29" s="15"/>
      <c r="JN29" s="91"/>
      <c r="JO29" s="231"/>
      <c r="JP29" s="562"/>
      <c r="JQ29" s="69"/>
      <c r="JR29" s="70"/>
      <c r="JS29" s="363">
        <f>SUM(JS8:JS28)</f>
        <v>0</v>
      </c>
      <c r="JV29" s="103"/>
      <c r="JW29" s="15"/>
      <c r="JX29" s="68"/>
      <c r="JY29" s="238"/>
      <c r="JZ29" s="68"/>
      <c r="KA29" s="69"/>
      <c r="KB29" s="70"/>
      <c r="KC29" s="363">
        <f>SUM(KC8:KC28)</f>
        <v>0</v>
      </c>
      <c r="KF29" s="103"/>
      <c r="KG29" s="15"/>
      <c r="KH29" s="68"/>
      <c r="KI29" s="238"/>
      <c r="KJ29" s="68"/>
      <c r="KK29" s="69"/>
      <c r="KL29" s="70"/>
      <c r="KM29" s="363">
        <f>SUM(KM8:KM28)</f>
        <v>0</v>
      </c>
      <c r="KP29" s="103"/>
      <c r="KQ29" s="15"/>
      <c r="KR29" s="68"/>
      <c r="KS29" s="238"/>
      <c r="KT29" s="565"/>
      <c r="KU29" s="563"/>
      <c r="KV29" s="564"/>
      <c r="KW29" s="363">
        <f>SUM(KW8:KW28)</f>
        <v>0</v>
      </c>
      <c r="KZ29" s="103"/>
      <c r="LA29" s="15"/>
      <c r="LB29" s="91"/>
      <c r="LC29" s="231"/>
      <c r="LD29" s="91"/>
      <c r="LE29" s="94"/>
      <c r="LF29" s="70"/>
      <c r="LG29" s="363">
        <f>LF29*LD29</f>
        <v>0</v>
      </c>
      <c r="LJ29" s="103"/>
      <c r="LK29" s="15"/>
      <c r="LL29" s="91"/>
      <c r="LM29" s="231"/>
      <c r="LN29" s="91"/>
      <c r="LO29" s="94"/>
      <c r="LP29" s="70"/>
      <c r="LQ29" s="363">
        <f t="shared" si="36"/>
        <v>0</v>
      </c>
      <c r="LT29" s="103"/>
      <c r="LU29" s="15"/>
      <c r="LV29" s="91"/>
      <c r="LW29" s="231"/>
      <c r="LX29" s="91"/>
      <c r="LY29" s="94"/>
      <c r="LZ29" s="70"/>
      <c r="MA29" s="363">
        <f t="shared" si="37"/>
        <v>0</v>
      </c>
      <c r="MB29" s="363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3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3">
        <v>0</v>
      </c>
      <c r="PN29" s="231"/>
      <c r="PO29" s="91"/>
      <c r="PP29" s="94"/>
      <c r="PQ29" s="70"/>
      <c r="PT29" s="103"/>
      <c r="PU29" s="15"/>
      <c r="PV29" s="91"/>
      <c r="PW29" s="231"/>
      <c r="PX29" s="731">
        <f>SUM(PX8:PX28)</f>
        <v>0</v>
      </c>
      <c r="PY29" s="91"/>
      <c r="PZ29" s="94"/>
      <c r="QA29" s="70"/>
      <c r="QD29" s="103"/>
      <c r="QE29" s="15"/>
      <c r="QF29" s="91"/>
      <c r="QG29" s="131"/>
      <c r="QH29" s="363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8"/>
      <c r="P30" s="102"/>
      <c r="Q30" s="69"/>
      <c r="R30" s="70"/>
      <c r="S30" s="363"/>
      <c r="V30" s="103"/>
      <c r="W30" s="15">
        <v>23</v>
      </c>
      <c r="X30" s="68">
        <v>886</v>
      </c>
      <c r="Y30" s="646">
        <v>45111</v>
      </c>
      <c r="Z30" s="68">
        <v>886</v>
      </c>
      <c r="AA30" s="563" t="s">
        <v>505</v>
      </c>
      <c r="AB30" s="564">
        <v>42</v>
      </c>
      <c r="AF30" s="103"/>
      <c r="AG30" s="15"/>
      <c r="AH30" s="91"/>
      <c r="AI30" s="231"/>
      <c r="AJ30" s="68"/>
      <c r="AK30" s="94"/>
      <c r="AL30" s="70"/>
      <c r="AM30" s="363">
        <f>SUM(AM8:AM29)</f>
        <v>853101</v>
      </c>
      <c r="AP30" s="103"/>
      <c r="AQ30" s="15"/>
      <c r="AR30" s="91"/>
      <c r="AS30" s="231"/>
      <c r="AT30" s="91"/>
      <c r="AU30" s="94"/>
      <c r="AV30" s="70"/>
      <c r="AW30" s="363">
        <f>SUM(AW8:AW29)</f>
        <v>865336.5</v>
      </c>
      <c r="AZ30" s="103"/>
      <c r="BA30" s="15"/>
      <c r="BB30" s="91"/>
      <c r="BC30" s="231"/>
      <c r="BD30" s="91"/>
      <c r="BE30" s="94"/>
      <c r="BF30" s="70"/>
      <c r="BG30" s="363">
        <f>SUM(BG8:BG29)</f>
        <v>782083.5</v>
      </c>
      <c r="BJ30" s="103"/>
      <c r="BK30" s="15"/>
      <c r="BL30" s="91"/>
      <c r="BM30" s="231"/>
      <c r="BN30" s="91"/>
      <c r="BO30" s="94"/>
      <c r="BP30" s="70"/>
      <c r="BQ30" s="363">
        <f>SUM(BQ8:BQ29)</f>
        <v>881097.8</v>
      </c>
      <c r="BT30" s="103"/>
      <c r="BU30" s="15"/>
      <c r="BV30" s="68"/>
      <c r="BW30" s="78"/>
      <c r="BX30" s="68"/>
      <c r="BY30" s="94"/>
      <c r="BZ30" s="70"/>
      <c r="CA30" s="363">
        <f>SUM(CA8:CA29)</f>
        <v>859657.5</v>
      </c>
      <c r="CD30" s="103"/>
      <c r="CE30" s="15">
        <v>23</v>
      </c>
      <c r="CF30" s="68"/>
      <c r="CG30" s="275"/>
      <c r="CH30" s="68"/>
      <c r="CI30" s="284"/>
      <c r="CJ30" s="276"/>
      <c r="CK30" s="363">
        <f>SUM(CK8:CK29)</f>
        <v>874294.39999999979</v>
      </c>
      <c r="CN30" s="103"/>
      <c r="CO30" s="15"/>
      <c r="CP30" s="68"/>
      <c r="CQ30" s="231"/>
      <c r="CR30" s="68"/>
      <c r="CS30" s="94"/>
      <c r="CT30" s="70"/>
      <c r="CU30" s="368">
        <f t="shared" si="58"/>
        <v>0</v>
      </c>
      <c r="CX30" s="103"/>
      <c r="CY30" s="15">
        <v>23</v>
      </c>
      <c r="CZ30" s="68">
        <v>861.5</v>
      </c>
      <c r="DA30" s="640">
        <v>45118</v>
      </c>
      <c r="DB30" s="68">
        <v>861.5</v>
      </c>
      <c r="DC30" s="693" t="s">
        <v>569</v>
      </c>
      <c r="DD30" s="564">
        <v>42</v>
      </c>
      <c r="DE30" s="363">
        <f t="shared" si="15"/>
        <v>36183</v>
      </c>
      <c r="DH30" s="103"/>
      <c r="DI30" s="15"/>
      <c r="DJ30" s="68"/>
      <c r="DK30" s="231"/>
      <c r="DL30" s="68"/>
      <c r="DM30" s="94"/>
      <c r="DN30" s="70"/>
      <c r="DO30" s="363">
        <f>SUM(DO8:DO29)</f>
        <v>0</v>
      </c>
      <c r="DR30" s="103"/>
      <c r="DS30" s="15"/>
      <c r="DT30" s="68"/>
      <c r="DU30" s="231"/>
      <c r="DV30" s="68"/>
      <c r="DW30" s="94"/>
      <c r="DX30" s="70"/>
      <c r="DY30" s="363">
        <f>SUM(DY8:DY29)</f>
        <v>829823.99999999988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3">
        <f>SUM(FC8:FC29)</f>
        <v>929230.20000000019</v>
      </c>
      <c r="FF30" s="93"/>
      <c r="FG30" s="15"/>
      <c r="FH30" s="562"/>
      <c r="FI30" s="640"/>
      <c r="FJ30" s="596"/>
      <c r="FK30" s="563"/>
      <c r="FL30" s="564"/>
      <c r="FM30" s="363">
        <f>SUM(FM8:FM29)</f>
        <v>956907.9</v>
      </c>
      <c r="FP30" s="103"/>
      <c r="FQ30" s="15"/>
      <c r="FR30" s="91"/>
      <c r="FS30" s="231"/>
      <c r="FT30" s="91"/>
      <c r="FU30" s="69"/>
      <c r="FV30" s="70"/>
      <c r="FW30" s="363">
        <f>SUM(FW8:FW29)</f>
        <v>0</v>
      </c>
      <c r="FZ30" s="103"/>
      <c r="GA30" s="15"/>
      <c r="GB30" s="336"/>
      <c r="GC30" s="231"/>
      <c r="GD30" s="68"/>
      <c r="GE30" s="94"/>
      <c r="GF30" s="70"/>
      <c r="GG30" s="363">
        <f>SUM(GG8:GG29)</f>
        <v>968561.4</v>
      </c>
      <c r="GJ30" s="103"/>
      <c r="GK30" s="15">
        <v>23</v>
      </c>
      <c r="GL30" s="91"/>
      <c r="GM30" s="231"/>
      <c r="GN30" s="91"/>
      <c r="GO30" s="94"/>
      <c r="GP30" s="70"/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8"/>
      <c r="HN30" s="103"/>
      <c r="HO30" s="15"/>
      <c r="HP30" s="91"/>
      <c r="HQ30" s="231"/>
      <c r="HR30" s="102"/>
      <c r="HS30" s="69"/>
      <c r="HT30" s="70"/>
      <c r="HU30" s="363">
        <f>SUM(HU8:HU29)</f>
        <v>969137.70000000019</v>
      </c>
      <c r="HX30" s="103"/>
      <c r="HY30" s="15"/>
      <c r="HZ30" s="68"/>
      <c r="IA30" s="238"/>
      <c r="IB30" s="102"/>
      <c r="IC30" s="69"/>
      <c r="ID30" s="70"/>
      <c r="IE30" s="363">
        <f>SUM(IE8:IE29)</f>
        <v>974926.20000000007</v>
      </c>
      <c r="IH30" s="103"/>
      <c r="II30" s="15"/>
      <c r="IJ30" s="68"/>
      <c r="IK30" s="238"/>
      <c r="IL30" s="102"/>
      <c r="IM30" s="69"/>
      <c r="IN30" s="70"/>
      <c r="IO30" s="363">
        <f>SUM(IO8:IO29)</f>
        <v>868004.70000000007</v>
      </c>
      <c r="IR30" s="103"/>
      <c r="IS30" s="15"/>
      <c r="IT30" s="68"/>
      <c r="IU30" s="238"/>
      <c r="IV30" s="102"/>
      <c r="IW30" s="69"/>
      <c r="IX30" s="70"/>
      <c r="IY30" s="363">
        <f>SUM(IY8:IY29)</f>
        <v>975543.29999999981</v>
      </c>
      <c r="JB30" s="103"/>
      <c r="JC30" s="15">
        <v>23</v>
      </c>
      <c r="JD30" s="68"/>
      <c r="JE30" s="238"/>
      <c r="JF30" s="91"/>
      <c r="JG30" s="69"/>
      <c r="JH30" s="70"/>
      <c r="JI30" s="363">
        <f>SUM(JI8:JI29)</f>
        <v>957155.24999999988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3">
        <f>SUM(LG8:LG29)</f>
        <v>0</v>
      </c>
      <c r="LJ30" s="103"/>
      <c r="LK30" s="15"/>
      <c r="LL30" s="91"/>
      <c r="LM30" s="231"/>
      <c r="LN30" s="91"/>
      <c r="LO30" s="94"/>
      <c r="LP30" s="70"/>
      <c r="LQ30" s="363">
        <f>SUM(LQ8:LQ29)</f>
        <v>0</v>
      </c>
      <c r="LT30" s="103"/>
      <c r="LU30" s="15"/>
      <c r="LV30" s="68"/>
      <c r="LW30" s="231"/>
      <c r="LX30" s="68"/>
      <c r="LY30" s="94"/>
      <c r="LZ30" s="70"/>
      <c r="MA30" s="363">
        <f>SUM(MA8:MA29)</f>
        <v>0</v>
      </c>
      <c r="MB30" s="363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31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86"/>
      <c r="O31" s="287"/>
      <c r="P31" s="193"/>
      <c r="Q31" s="135"/>
      <c r="R31" s="189"/>
      <c r="S31" s="367"/>
      <c r="V31" s="175"/>
      <c r="W31" s="37"/>
      <c r="X31" s="286"/>
      <c r="Y31" s="287"/>
      <c r="Z31" s="193"/>
      <c r="AA31" s="135"/>
      <c r="AB31" s="189"/>
      <c r="AC31" s="367"/>
      <c r="AF31" s="175"/>
      <c r="AG31" s="291"/>
      <c r="AH31" s="286"/>
      <c r="AI31" s="192"/>
      <c r="AJ31" s="286"/>
      <c r="AK31" s="301"/>
      <c r="AL31" s="189"/>
      <c r="AM31" s="367"/>
      <c r="AP31" s="175"/>
      <c r="AQ31" s="37"/>
      <c r="AR31" s="294"/>
      <c r="AS31" s="287"/>
      <c r="AT31" s="294"/>
      <c r="AU31" s="301"/>
      <c r="AV31" s="189"/>
      <c r="AW31" s="367"/>
      <c r="AZ31" s="175"/>
      <c r="BA31" s="37"/>
      <c r="BB31" s="294"/>
      <c r="BC31" s="287"/>
      <c r="BD31" s="294"/>
      <c r="BE31" s="301"/>
      <c r="BF31" s="189"/>
      <c r="BG31" s="367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3"/>
      <c r="CH31" s="286"/>
      <c r="CI31" s="344"/>
      <c r="CJ31" s="345"/>
      <c r="CN31" s="175"/>
      <c r="CO31" s="37"/>
      <c r="CP31" s="286"/>
      <c r="CQ31" s="293"/>
      <c r="CR31" s="286"/>
      <c r="CS31" s="265"/>
      <c r="CT31" s="70"/>
      <c r="CU31" s="368">
        <f>SUM(CU8:CU30)</f>
        <v>897638.89999999991</v>
      </c>
      <c r="CX31" s="175"/>
      <c r="CY31" s="37">
        <v>24</v>
      </c>
      <c r="CZ31" s="286">
        <v>874.5</v>
      </c>
      <c r="DA31" s="1503">
        <v>45118</v>
      </c>
      <c r="DB31" s="286">
        <v>874.5</v>
      </c>
      <c r="DC31" s="1504" t="s">
        <v>569</v>
      </c>
      <c r="DD31" s="766">
        <v>42</v>
      </c>
      <c r="DE31" s="1505">
        <f t="shared" si="15"/>
        <v>36729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7"/>
      <c r="EL31" s="175"/>
      <c r="EM31" s="37"/>
      <c r="EN31" s="286"/>
      <c r="EO31" s="287"/>
      <c r="EP31" s="193"/>
      <c r="EQ31" s="135"/>
      <c r="ER31" s="189"/>
      <c r="ES31" s="367"/>
      <c r="EV31" s="175"/>
      <c r="EW31" s="37"/>
      <c r="EX31" s="286"/>
      <c r="EY31" s="287"/>
      <c r="EZ31" s="193"/>
      <c r="FA31" s="135"/>
      <c r="FB31" s="189"/>
      <c r="FC31" s="367"/>
      <c r="FF31" s="295"/>
      <c r="FG31" s="37"/>
      <c r="FH31" s="286"/>
      <c r="FI31" s="192"/>
      <c r="FJ31" s="286"/>
      <c r="FK31" s="135"/>
      <c r="FL31" s="189"/>
      <c r="FM31" s="367"/>
      <c r="FP31" s="175"/>
      <c r="FQ31" s="37"/>
      <c r="FR31" s="294"/>
      <c r="FS31" s="287"/>
      <c r="FT31" s="294"/>
      <c r="FU31" s="135"/>
      <c r="FV31" s="189"/>
      <c r="FW31" s="367"/>
      <c r="FZ31" s="175"/>
      <c r="GA31" s="291"/>
      <c r="GB31" s="337"/>
      <c r="GC31" s="292"/>
      <c r="GD31" s="286"/>
      <c r="GE31" s="265"/>
      <c r="GJ31" s="796"/>
      <c r="GK31" s="52"/>
      <c r="GL31" s="296"/>
      <c r="GM31" s="297"/>
      <c r="GN31" s="298"/>
      <c r="GO31" s="299"/>
      <c r="GP31" s="300"/>
      <c r="GQ31" s="370"/>
      <c r="GT31" s="909"/>
      <c r="GU31" s="52"/>
      <c r="GV31" s="296"/>
      <c r="GW31" s="297"/>
      <c r="GX31" s="298"/>
      <c r="GY31" s="299"/>
      <c r="GZ31" s="300"/>
      <c r="HA31" s="370"/>
      <c r="HD31" s="909"/>
      <c r="HE31" s="52"/>
      <c r="HF31" s="296"/>
      <c r="HG31" s="297"/>
      <c r="HH31" s="298"/>
      <c r="HI31" s="299"/>
      <c r="HJ31" s="300"/>
      <c r="HK31" s="370"/>
      <c r="HN31" s="175"/>
      <c r="HO31" s="37"/>
      <c r="HP31" s="294"/>
      <c r="HQ31" s="287"/>
      <c r="HR31" s="193"/>
      <c r="HS31" s="135"/>
      <c r="HT31" s="189"/>
      <c r="HU31" s="367"/>
      <c r="HX31" s="175"/>
      <c r="HY31" s="37"/>
      <c r="HZ31" s="286"/>
      <c r="IA31" s="287"/>
      <c r="IB31" s="193"/>
      <c r="IC31" s="135"/>
      <c r="ID31" s="189"/>
      <c r="IE31" s="367"/>
      <c r="IH31" s="175"/>
      <c r="II31" s="37"/>
      <c r="IJ31" s="286"/>
      <c r="IK31" s="287"/>
      <c r="IL31" s="193"/>
      <c r="IM31" s="135"/>
      <c r="IN31" s="189"/>
      <c r="IO31" s="367"/>
      <c r="IR31" s="175"/>
      <c r="IS31" s="37"/>
      <c r="IT31" s="286"/>
      <c r="IU31" s="287"/>
      <c r="IV31" s="193"/>
      <c r="IW31" s="135"/>
      <c r="IX31" s="189"/>
      <c r="IY31" s="367"/>
      <c r="JB31" s="175"/>
      <c r="JC31" s="37"/>
      <c r="JD31" s="286"/>
      <c r="JE31" s="287"/>
      <c r="JF31" s="193"/>
      <c r="JG31" s="135"/>
      <c r="JH31" s="189"/>
      <c r="JI31" s="367"/>
      <c r="JL31" s="175"/>
      <c r="JM31" s="37"/>
      <c r="JN31" s="294"/>
      <c r="JO31" s="287"/>
      <c r="JP31" s="193"/>
      <c r="JQ31" s="135"/>
      <c r="JR31" s="189"/>
      <c r="JS31" s="367"/>
      <c r="JV31" s="175"/>
      <c r="JW31" s="37"/>
      <c r="JX31" s="286"/>
      <c r="JY31" s="287"/>
      <c r="JZ31" s="193"/>
      <c r="KA31" s="135"/>
      <c r="KB31" s="189"/>
      <c r="KC31" s="367"/>
      <c r="KF31" s="175"/>
      <c r="KG31" s="37"/>
      <c r="KH31" s="286"/>
      <c r="KI31" s="287"/>
      <c r="KJ31" s="193"/>
      <c r="KK31" s="135"/>
      <c r="KL31" s="189"/>
      <c r="KM31" s="367"/>
      <c r="KP31" s="175"/>
      <c r="KQ31" s="37"/>
      <c r="KR31" s="286"/>
      <c r="KS31" s="287"/>
      <c r="KT31" s="193"/>
      <c r="KU31" s="135"/>
      <c r="KV31" s="189"/>
      <c r="KW31" s="367"/>
      <c r="KZ31" s="175"/>
      <c r="LA31" s="291"/>
      <c r="LB31" s="286"/>
      <c r="LC31" s="192"/>
      <c r="LD31" s="286"/>
      <c r="LE31" s="301"/>
      <c r="LF31" s="189"/>
      <c r="LG31" s="367"/>
      <c r="LJ31" s="175"/>
      <c r="LK31" s="37"/>
      <c r="LL31" s="294"/>
      <c r="LM31" s="287"/>
      <c r="LN31" s="294"/>
      <c r="LO31" s="301"/>
      <c r="LP31" s="189"/>
      <c r="LQ31" s="367"/>
      <c r="LT31" s="175"/>
      <c r="LU31" s="37"/>
      <c r="LV31" s="193"/>
      <c r="LW31" s="192"/>
      <c r="LX31" s="286"/>
      <c r="LY31" s="301"/>
      <c r="LZ31" s="302"/>
      <c r="MA31" s="367"/>
      <c r="MB31" s="367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18934.669999999998</v>
      </c>
      <c r="P32" s="102">
        <f>SUM(P8:P31)</f>
        <v>18934.669999999998</v>
      </c>
      <c r="S32" s="363"/>
      <c r="X32" s="102">
        <f>SUM(X8:X31)</f>
        <v>18678.5</v>
      </c>
      <c r="Z32" s="102">
        <f>SUM(Z8:Z31)</f>
        <v>18678.5</v>
      </c>
      <c r="AH32" s="102">
        <f>SUM(AH8:AH31)</f>
        <v>18957.8</v>
      </c>
      <c r="AJ32" s="102">
        <f>SUM(AJ8:AJ31)</f>
        <v>18957.8</v>
      </c>
      <c r="AM32" s="363"/>
      <c r="AR32" s="85">
        <f>SUM(AR8:AR31)</f>
        <v>19229.699999999997</v>
      </c>
      <c r="AT32" s="102">
        <f>SUM(AT8:AT31)</f>
        <v>19229.699999999997</v>
      </c>
      <c r="AZ32" s="74"/>
      <c r="BB32" s="85">
        <f>SUM(BB8:BB31)</f>
        <v>17117.600000000002</v>
      </c>
      <c r="BD32" s="102">
        <f>SUM(BD8:BD31)</f>
        <v>17117.600000000002</v>
      </c>
      <c r="BL32" s="85">
        <f>SUM(BL8:BL31)</f>
        <v>19154.3</v>
      </c>
      <c r="BN32" s="102">
        <f>SUM(BN8:BN31)</f>
        <v>19154.3</v>
      </c>
      <c r="BV32" s="102">
        <f>SUM(BV8:BV31)</f>
        <v>19103.499999999996</v>
      </c>
      <c r="BX32" s="102">
        <f>SUM(BX8:BX31)</f>
        <v>19103.499999999996</v>
      </c>
      <c r="CE32" s="15"/>
      <c r="CF32" s="102">
        <f>SUM(CF8:CF31)</f>
        <v>19006.399999999998</v>
      </c>
      <c r="CH32" s="102">
        <f>SUM(CH8:CH31)</f>
        <v>19006.399999999998</v>
      </c>
      <c r="CP32" s="102">
        <f>SUM(CP8:CP31)</f>
        <v>19098.699999999997</v>
      </c>
      <c r="CR32" s="102">
        <f>SUM(CR8:CR31)</f>
        <v>19098.699999999997</v>
      </c>
      <c r="CZ32" s="102">
        <f>SUM(CZ8:CZ31)</f>
        <v>18701.5</v>
      </c>
      <c r="DB32" s="102">
        <f>SUM(DB8:DB31)</f>
        <v>18701.5</v>
      </c>
      <c r="DE32" s="363">
        <f>SUM(DE8:DE31)</f>
        <v>785463</v>
      </c>
      <c r="DJ32" s="102">
        <f>SUM(DJ8:DJ31)</f>
        <v>17292.399999999998</v>
      </c>
      <c r="DL32" s="102">
        <f>SUM(DL8:DL31)</f>
        <v>17292.399999999998</v>
      </c>
      <c r="DT32" s="102">
        <f>SUM(DT8:DT31)</f>
        <v>17288.000000000004</v>
      </c>
      <c r="DV32" s="102">
        <f>SUM(DV8:DV31)</f>
        <v>17288.000000000004</v>
      </c>
      <c r="ED32" s="102">
        <f>SUM(ED8:ED31)</f>
        <v>18941.799999999996</v>
      </c>
      <c r="EF32" s="102">
        <f>SUM(EF8:EF31)</f>
        <v>18941.799999999996</v>
      </c>
      <c r="EN32" s="102">
        <f>SUM(EN8:EN31)</f>
        <v>19010.900000000001</v>
      </c>
      <c r="EP32" s="102">
        <f>SUM(EP8:EP31)</f>
        <v>19010.900000000001</v>
      </c>
      <c r="EX32" s="102">
        <f>SUM(EX8:EX31)</f>
        <v>18220.2</v>
      </c>
      <c r="EZ32" s="102">
        <f>SUM(EZ8:EZ31)</f>
        <v>18220.2</v>
      </c>
      <c r="FH32" s="128">
        <f>SUM(FH8:FH31)</f>
        <v>18762.899999999998</v>
      </c>
      <c r="FJ32" s="102">
        <f>SUM(FJ8:FJ31)</f>
        <v>18762.899999999998</v>
      </c>
      <c r="FR32" s="102">
        <f>SUM(FR8:FR31)</f>
        <v>19039.3</v>
      </c>
      <c r="FS32" s="102"/>
      <c r="FT32" s="102">
        <f>SUM(FT8:FT31)</f>
        <v>19039.3</v>
      </c>
      <c r="FU32" s="74" t="s">
        <v>36</v>
      </c>
      <c r="GB32" s="102">
        <f>SUM(GB8:GB31)</f>
        <v>18991.399999999998</v>
      </c>
      <c r="GD32" s="102">
        <f>SUM(GD8:GD31)</f>
        <v>18991.399999999998</v>
      </c>
      <c r="GL32" s="102">
        <f>SUM(GL8:GL31)</f>
        <v>19038.899999999998</v>
      </c>
      <c r="GN32" s="102">
        <f>SUM(GN8:GN31)</f>
        <v>19038.899999999998</v>
      </c>
      <c r="GV32" s="102">
        <f>SUM(GV8:GV31)</f>
        <v>18765.900000000001</v>
      </c>
      <c r="GX32" s="102">
        <f>SUM(GX8:GX31)</f>
        <v>18765.900000000001</v>
      </c>
      <c r="HF32" s="102">
        <f>SUM(HF8:HF31)</f>
        <v>18856.600000000002</v>
      </c>
      <c r="HH32" s="102">
        <f>SUM(HH8:HH31)</f>
        <v>17064</v>
      </c>
      <c r="HP32" s="102">
        <f>SUM(HP8:HP31)</f>
        <v>19002.700000000004</v>
      </c>
      <c r="HR32" s="102">
        <f>SUM(HR8:HR31)</f>
        <v>19002.700000000004</v>
      </c>
      <c r="HZ32" s="102">
        <f>SUM(HZ8:HZ31)</f>
        <v>19116.200000000004</v>
      </c>
      <c r="IB32" s="102">
        <f>SUM(IB8:IB31)</f>
        <v>19116.200000000004</v>
      </c>
      <c r="IJ32" s="102">
        <f>SUM(IJ8:IJ31)</f>
        <v>17019.7</v>
      </c>
      <c r="IL32" s="102">
        <f>SUM(IL8:IL31)</f>
        <v>17019.7</v>
      </c>
      <c r="IT32" s="102">
        <f>SUM(IT8:IT31)</f>
        <v>19128.3</v>
      </c>
      <c r="IV32" s="102">
        <f>SUM(IV8:IV31)</f>
        <v>19128.3</v>
      </c>
      <c r="JD32" s="102">
        <f>SUM(JD8:JD31)</f>
        <v>18767.750000000004</v>
      </c>
      <c r="JF32" s="102">
        <f>SUM(JF8:JF31)</f>
        <v>18767.750000000004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3"/>
      <c r="MB32" s="363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12" t="s">
        <v>21</v>
      </c>
      <c r="O33" s="1213"/>
      <c r="P33" s="137">
        <f>Q5-P32</f>
        <v>0</v>
      </c>
      <c r="S33" s="363"/>
      <c r="X33" s="694" t="s">
        <v>21</v>
      </c>
      <c r="Y33" s="695"/>
      <c r="Z33" s="205">
        <f>AA5-Z32</f>
        <v>0</v>
      </c>
      <c r="AA33" s="805"/>
      <c r="AB33" s="805"/>
      <c r="AH33" s="246" t="s">
        <v>21</v>
      </c>
      <c r="AI33" s="247"/>
      <c r="AJ33" s="205">
        <f>AK5-AJ32</f>
        <v>0</v>
      </c>
      <c r="AM33" s="363"/>
      <c r="AR33" s="246" t="s">
        <v>21</v>
      </c>
      <c r="AS33" s="247"/>
      <c r="AT33" s="137">
        <f>AU5-AT32</f>
        <v>0</v>
      </c>
      <c r="AZ33" s="74"/>
      <c r="BB33" s="246" t="s">
        <v>21</v>
      </c>
      <c r="BC33" s="247"/>
      <c r="BD33" s="137">
        <f>BE5-BD32</f>
        <v>0</v>
      </c>
      <c r="BL33" s="814" t="s">
        <v>21</v>
      </c>
      <c r="BM33" s="815"/>
      <c r="BN33" s="137">
        <f>BO5-BN32</f>
        <v>0</v>
      </c>
      <c r="BV33" s="246" t="s">
        <v>21</v>
      </c>
      <c r="BW33" s="247"/>
      <c r="BX33" s="137">
        <f>BV32-BX32</f>
        <v>0</v>
      </c>
      <c r="CE33" s="15"/>
      <c r="CF33" s="246" t="s">
        <v>21</v>
      </c>
      <c r="CG33" s="247"/>
      <c r="CH33" s="137">
        <f>CF32-CH32</f>
        <v>0</v>
      </c>
      <c r="CP33" s="246" t="s">
        <v>21</v>
      </c>
      <c r="CQ33" s="247"/>
      <c r="CR33" s="137">
        <f>CP32-CR32</f>
        <v>0</v>
      </c>
      <c r="CZ33" s="246" t="s">
        <v>21</v>
      </c>
      <c r="DA33" s="247"/>
      <c r="DB33" s="137">
        <f>CZ32-DB32</f>
        <v>0</v>
      </c>
      <c r="DJ33" s="246" t="s">
        <v>21</v>
      </c>
      <c r="DK33" s="247"/>
      <c r="DL33" s="137">
        <f>DJ32-DL32</f>
        <v>0</v>
      </c>
      <c r="DT33" s="246" t="s">
        <v>21</v>
      </c>
      <c r="DU33" s="247"/>
      <c r="DV33" s="137">
        <f>DT32-DV32</f>
        <v>0</v>
      </c>
      <c r="ED33" s="246" t="s">
        <v>21</v>
      </c>
      <c r="EE33" s="247"/>
      <c r="EF33" s="137">
        <f>ED32-EF32</f>
        <v>0</v>
      </c>
      <c r="EN33" s="246" t="s">
        <v>21</v>
      </c>
      <c r="EO33" s="247"/>
      <c r="EP33" s="137">
        <f>EN32-EP32</f>
        <v>0</v>
      </c>
      <c r="EX33" s="246" t="s">
        <v>21</v>
      </c>
      <c r="EY33" s="247"/>
      <c r="EZ33" s="205">
        <f>EX32-EZ32</f>
        <v>0</v>
      </c>
      <c r="FH33" s="246" t="s">
        <v>21</v>
      </c>
      <c r="FI33" s="247"/>
      <c r="FJ33" s="205">
        <f>FH32-FJ32</f>
        <v>0</v>
      </c>
      <c r="FR33" s="246" t="s">
        <v>21</v>
      </c>
      <c r="FS33" s="247"/>
      <c r="FT33" s="137">
        <f>FR32-FT32</f>
        <v>0</v>
      </c>
      <c r="GB33" s="794" t="s">
        <v>21</v>
      </c>
      <c r="GC33" s="795"/>
      <c r="GD33" s="137">
        <f>GB32-GD32</f>
        <v>0</v>
      </c>
      <c r="GL33" s="794" t="s">
        <v>21</v>
      </c>
      <c r="GM33" s="795"/>
      <c r="GN33" s="137">
        <f>GL32-GN32</f>
        <v>0</v>
      </c>
      <c r="GV33" s="907" t="s">
        <v>21</v>
      </c>
      <c r="GW33" s="908"/>
      <c r="GX33" s="137">
        <f>GV32-GX32</f>
        <v>0</v>
      </c>
      <c r="HF33" s="907" t="s">
        <v>21</v>
      </c>
      <c r="HG33" s="908"/>
      <c r="HH33" s="137">
        <f>HF32-HH32</f>
        <v>1792.6000000000022</v>
      </c>
      <c r="HP33" s="907" t="s">
        <v>21</v>
      </c>
      <c r="HQ33" s="908"/>
      <c r="HR33" s="137">
        <f>HP32-HR32</f>
        <v>0</v>
      </c>
      <c r="HZ33" s="907" t="s">
        <v>21</v>
      </c>
      <c r="IA33" s="908"/>
      <c r="IB33" s="137">
        <f>IC5-IB32</f>
        <v>0</v>
      </c>
      <c r="IJ33" s="794" t="s">
        <v>21</v>
      </c>
      <c r="IK33" s="795"/>
      <c r="IL33" s="137">
        <f>IM5-IL32</f>
        <v>0</v>
      </c>
      <c r="IT33" s="794" t="s">
        <v>21</v>
      </c>
      <c r="IU33" s="795"/>
      <c r="IV33" s="137">
        <f>IW5-IV32</f>
        <v>0</v>
      </c>
      <c r="JD33" s="246" t="s">
        <v>21</v>
      </c>
      <c r="JE33" s="247"/>
      <c r="JF33" s="137">
        <f>JD32-JF32</f>
        <v>0</v>
      </c>
      <c r="JN33" s="246" t="s">
        <v>21</v>
      </c>
      <c r="JO33" s="247"/>
      <c r="JP33" s="137">
        <f>JN32-JP32</f>
        <v>0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3"/>
      <c r="MB33" s="363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655" t="s">
        <v>21</v>
      </c>
      <c r="SB33" s="1656"/>
      <c r="SC33" s="137">
        <f>SUM(SD5-SC32)</f>
        <v>0</v>
      </c>
      <c r="SK33" s="1655" t="s">
        <v>21</v>
      </c>
      <c r="SL33" s="1656"/>
      <c r="SM33" s="137">
        <f>SUM(SN5-SM32)</f>
        <v>0</v>
      </c>
      <c r="SU33" s="1655" t="s">
        <v>21</v>
      </c>
      <c r="SV33" s="1656"/>
      <c r="SW33" s="205">
        <f>SUM(SX5-SW32)</f>
        <v>0</v>
      </c>
      <c r="TE33" s="1655" t="s">
        <v>21</v>
      </c>
      <c r="TF33" s="1656"/>
      <c r="TG33" s="137">
        <f>SUM(TH5-TG32)</f>
        <v>0</v>
      </c>
      <c r="TO33" s="1655" t="s">
        <v>21</v>
      </c>
      <c r="TP33" s="1656"/>
      <c r="TQ33" s="137">
        <f>SUM(TR5-TQ32)</f>
        <v>0</v>
      </c>
      <c r="TY33" s="1655" t="s">
        <v>21</v>
      </c>
      <c r="TZ33" s="1656"/>
      <c r="UA33" s="137">
        <f>SUM(UB5-UA32)</f>
        <v>0</v>
      </c>
      <c r="UH33" s="1655" t="s">
        <v>21</v>
      </c>
      <c r="UI33" s="1656"/>
      <c r="UJ33" s="137">
        <f>SUM(UK5-UJ32)</f>
        <v>0</v>
      </c>
      <c r="UQ33" s="1655" t="s">
        <v>21</v>
      </c>
      <c r="UR33" s="1656"/>
      <c r="US33" s="137">
        <f>SUM(UT5-US32)</f>
        <v>0</v>
      </c>
      <c r="UZ33" s="1655" t="s">
        <v>21</v>
      </c>
      <c r="VA33" s="1656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655" t="s">
        <v>21</v>
      </c>
      <c r="WB33" s="1656"/>
      <c r="WC33" s="137">
        <f>WD5-WC32</f>
        <v>-22</v>
      </c>
      <c r="WJ33" s="1655" t="s">
        <v>21</v>
      </c>
      <c r="WK33" s="1656"/>
      <c r="WL33" s="137">
        <f>WM5-WL32</f>
        <v>-22</v>
      </c>
      <c r="WS33" s="1655" t="s">
        <v>21</v>
      </c>
      <c r="WT33" s="1656"/>
      <c r="WU33" s="137">
        <f>WV5-WU32</f>
        <v>-22</v>
      </c>
      <c r="XB33" s="1655" t="s">
        <v>21</v>
      </c>
      <c r="XC33" s="1656"/>
      <c r="XD33" s="137">
        <f>XE5-XD32</f>
        <v>-22</v>
      </c>
      <c r="XK33" s="1655" t="s">
        <v>21</v>
      </c>
      <c r="XL33" s="1656"/>
      <c r="XM33" s="137">
        <f>XN5-XM32</f>
        <v>-22</v>
      </c>
      <c r="XT33" s="1655" t="s">
        <v>21</v>
      </c>
      <c r="XU33" s="1656"/>
      <c r="XV33" s="137">
        <f>XW5-XV32</f>
        <v>-22</v>
      </c>
      <c r="YC33" s="1655" t="s">
        <v>21</v>
      </c>
      <c r="YD33" s="1656"/>
      <c r="YE33" s="137">
        <f>YF5-YE32</f>
        <v>-22</v>
      </c>
      <c r="YL33" s="1655" t="s">
        <v>21</v>
      </c>
      <c r="YM33" s="1656"/>
      <c r="YN33" s="137">
        <f>YO5-YN32</f>
        <v>-22</v>
      </c>
      <c r="YU33" s="1655" t="s">
        <v>21</v>
      </c>
      <c r="YV33" s="1656"/>
      <c r="YW33" s="137">
        <f>YX5-YW32</f>
        <v>-22</v>
      </c>
      <c r="ZD33" s="1655" t="s">
        <v>21</v>
      </c>
      <c r="ZE33" s="1656"/>
      <c r="ZF33" s="137">
        <f>ZG5-ZF32</f>
        <v>-22</v>
      </c>
      <c r="ZM33" s="1655" t="s">
        <v>21</v>
      </c>
      <c r="ZN33" s="1656"/>
      <c r="ZO33" s="137">
        <f>ZP5-ZO32</f>
        <v>-22</v>
      </c>
      <c r="ZV33" s="1655" t="s">
        <v>21</v>
      </c>
      <c r="ZW33" s="1656"/>
      <c r="ZX33" s="137">
        <f>ZY5-ZX32</f>
        <v>-22</v>
      </c>
      <c r="AAE33" s="1655" t="s">
        <v>21</v>
      </c>
      <c r="AAF33" s="1656"/>
      <c r="AAG33" s="137">
        <f>AAH5-AAG32</f>
        <v>-22</v>
      </c>
      <c r="AAN33" s="1655" t="s">
        <v>21</v>
      </c>
      <c r="AAO33" s="1656"/>
      <c r="AAP33" s="137">
        <f>AAQ5-AAP32</f>
        <v>-22</v>
      </c>
      <c r="AAW33" s="1655" t="s">
        <v>21</v>
      </c>
      <c r="AAX33" s="1656"/>
      <c r="AAY33" s="137">
        <f>AAZ5-AAY32</f>
        <v>-22</v>
      </c>
      <c r="ABF33" s="1655" t="s">
        <v>21</v>
      </c>
      <c r="ABG33" s="1656"/>
      <c r="ABH33" s="137">
        <f>ABH32-ABF32</f>
        <v>22</v>
      </c>
      <c r="ABO33" s="1655" t="s">
        <v>21</v>
      </c>
      <c r="ABP33" s="1656"/>
      <c r="ABQ33" s="137">
        <f>ABR5-ABQ32</f>
        <v>-22</v>
      </c>
      <c r="ABX33" s="1655" t="s">
        <v>21</v>
      </c>
      <c r="ABY33" s="1656"/>
      <c r="ABZ33" s="137">
        <f>ACA5-ABZ32</f>
        <v>-22</v>
      </c>
      <c r="ACG33" s="1655" t="s">
        <v>21</v>
      </c>
      <c r="ACH33" s="1656"/>
      <c r="ACI33" s="137">
        <f>ACJ5-ACI32</f>
        <v>-22</v>
      </c>
      <c r="ACP33" s="1655" t="s">
        <v>21</v>
      </c>
      <c r="ACQ33" s="1656"/>
      <c r="ACR33" s="137">
        <f>ACS5-ACR32</f>
        <v>-22</v>
      </c>
      <c r="ACY33" s="1655" t="s">
        <v>21</v>
      </c>
      <c r="ACZ33" s="1656"/>
      <c r="ADA33" s="137">
        <f>ADB5-ADA32</f>
        <v>-22</v>
      </c>
      <c r="ADH33" s="1655" t="s">
        <v>21</v>
      </c>
      <c r="ADI33" s="1656"/>
      <c r="ADJ33" s="137">
        <f>ADK5-ADJ32</f>
        <v>-22</v>
      </c>
      <c r="ADQ33" s="1655" t="s">
        <v>21</v>
      </c>
      <c r="ADR33" s="1656"/>
      <c r="ADS33" s="137">
        <f>ADT5-ADS32</f>
        <v>-22</v>
      </c>
      <c r="ADZ33" s="1655" t="s">
        <v>21</v>
      </c>
      <c r="AEA33" s="1656"/>
      <c r="AEB33" s="137">
        <f>AEC5-AEB32</f>
        <v>-22</v>
      </c>
      <c r="AEI33" s="1655" t="s">
        <v>21</v>
      </c>
      <c r="AEJ33" s="1656"/>
      <c r="AEK33" s="137">
        <f>AEL5-AEK32</f>
        <v>-22</v>
      </c>
      <c r="AER33" s="1655" t="s">
        <v>21</v>
      </c>
      <c r="AES33" s="1656"/>
      <c r="AET33" s="137">
        <f>AEU5-AET32</f>
        <v>-22</v>
      </c>
      <c r="AFA33" s="1655" t="s">
        <v>21</v>
      </c>
      <c r="AFB33" s="1656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14" t="s">
        <v>4</v>
      </c>
      <c r="O34" s="1215"/>
      <c r="P34" s="49"/>
      <c r="S34" s="363"/>
      <c r="X34" s="696" t="s">
        <v>4</v>
      </c>
      <c r="Y34" s="697"/>
      <c r="Z34" s="49"/>
      <c r="AH34" s="248" t="s">
        <v>4</v>
      </c>
      <c r="AI34" s="249"/>
      <c r="AJ34" s="49"/>
      <c r="AM34" s="363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16" t="s">
        <v>4</v>
      </c>
      <c r="BM34" s="817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248" t="s">
        <v>4</v>
      </c>
      <c r="FS34" s="249"/>
      <c r="FT34" s="49"/>
      <c r="GB34" s="796" t="s">
        <v>4</v>
      </c>
      <c r="GC34" s="797"/>
      <c r="GD34" s="49"/>
      <c r="GL34" s="796" t="s">
        <v>4</v>
      </c>
      <c r="GM34" s="797"/>
      <c r="GN34" s="49"/>
      <c r="GV34" s="909" t="s">
        <v>4</v>
      </c>
      <c r="GW34" s="910"/>
      <c r="GX34" s="49"/>
      <c r="HF34" s="909" t="s">
        <v>4</v>
      </c>
      <c r="HG34" s="910"/>
      <c r="HH34" s="49"/>
      <c r="HP34" s="909" t="s">
        <v>4</v>
      </c>
      <c r="HQ34" s="910"/>
      <c r="HR34" s="49">
        <v>0</v>
      </c>
      <c r="HZ34" s="909" t="s">
        <v>4</v>
      </c>
      <c r="IA34" s="910"/>
      <c r="IB34" s="49"/>
      <c r="IJ34" s="796" t="s">
        <v>4</v>
      </c>
      <c r="IK34" s="797"/>
      <c r="IL34" s="49"/>
      <c r="IT34" s="796" t="s">
        <v>4</v>
      </c>
      <c r="IU34" s="797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3"/>
      <c r="MB34" s="363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657" t="s">
        <v>4</v>
      </c>
      <c r="SB34" s="1658"/>
      <c r="SC34" s="49"/>
      <c r="SK34" s="1657" t="s">
        <v>4</v>
      </c>
      <c r="SL34" s="1658"/>
      <c r="SM34" s="49"/>
      <c r="SU34" s="1657" t="s">
        <v>4</v>
      </c>
      <c r="SV34" s="1658"/>
      <c r="SW34" s="49"/>
      <c r="TE34" s="1657" t="s">
        <v>4</v>
      </c>
      <c r="TF34" s="1658"/>
      <c r="TG34" s="49"/>
      <c r="TO34" s="1657" t="s">
        <v>4</v>
      </c>
      <c r="TP34" s="1658"/>
      <c r="TQ34" s="49"/>
      <c r="TY34" s="1657" t="s">
        <v>4</v>
      </c>
      <c r="TZ34" s="1658"/>
      <c r="UA34" s="49"/>
      <c r="UH34" s="1657" t="s">
        <v>4</v>
      </c>
      <c r="UI34" s="1658"/>
      <c r="UJ34" s="49"/>
      <c r="UQ34" s="1657" t="s">
        <v>4</v>
      </c>
      <c r="UR34" s="1658"/>
      <c r="US34" s="49"/>
      <c r="UZ34" s="1657" t="s">
        <v>4</v>
      </c>
      <c r="VA34" s="1658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657" t="s">
        <v>4</v>
      </c>
      <c r="WB34" s="1658"/>
      <c r="WC34" s="49"/>
      <c r="WJ34" s="1657" t="s">
        <v>4</v>
      </c>
      <c r="WK34" s="1658"/>
      <c r="WL34" s="49"/>
      <c r="WS34" s="1657" t="s">
        <v>4</v>
      </c>
      <c r="WT34" s="1658"/>
      <c r="WU34" s="49"/>
      <c r="XB34" s="1657" t="s">
        <v>4</v>
      </c>
      <c r="XC34" s="1658"/>
      <c r="XD34" s="49"/>
      <c r="XK34" s="1657" t="s">
        <v>4</v>
      </c>
      <c r="XL34" s="1658"/>
      <c r="XM34" s="49"/>
      <c r="XT34" s="1657" t="s">
        <v>4</v>
      </c>
      <c r="XU34" s="1658"/>
      <c r="XV34" s="49"/>
      <c r="YC34" s="1657" t="s">
        <v>4</v>
      </c>
      <c r="YD34" s="1658"/>
      <c r="YE34" s="49"/>
      <c r="YL34" s="1657" t="s">
        <v>4</v>
      </c>
      <c r="YM34" s="1658"/>
      <c r="YN34" s="49"/>
      <c r="YU34" s="1657" t="s">
        <v>4</v>
      </c>
      <c r="YV34" s="1658"/>
      <c r="YW34" s="49"/>
      <c r="ZD34" s="1657" t="s">
        <v>4</v>
      </c>
      <c r="ZE34" s="1658"/>
      <c r="ZF34" s="49"/>
      <c r="ZM34" s="1657" t="s">
        <v>4</v>
      </c>
      <c r="ZN34" s="1658"/>
      <c r="ZO34" s="49"/>
      <c r="ZV34" s="1657" t="s">
        <v>4</v>
      </c>
      <c r="ZW34" s="1658"/>
      <c r="ZX34" s="49"/>
      <c r="AAE34" s="1657" t="s">
        <v>4</v>
      </c>
      <c r="AAF34" s="1658"/>
      <c r="AAG34" s="49"/>
      <c r="AAN34" s="1657" t="s">
        <v>4</v>
      </c>
      <c r="AAO34" s="1658"/>
      <c r="AAP34" s="49"/>
      <c r="AAW34" s="1657" t="s">
        <v>4</v>
      </c>
      <c r="AAX34" s="1658"/>
      <c r="AAY34" s="49"/>
      <c r="ABF34" s="1657" t="s">
        <v>4</v>
      </c>
      <c r="ABG34" s="1658"/>
      <c r="ABH34" s="49"/>
      <c r="ABO34" s="1657" t="s">
        <v>4</v>
      </c>
      <c r="ABP34" s="1658"/>
      <c r="ABQ34" s="49"/>
      <c r="ABX34" s="1657" t="s">
        <v>4</v>
      </c>
      <c r="ABY34" s="1658"/>
      <c r="ABZ34" s="49"/>
      <c r="ACG34" s="1657" t="s">
        <v>4</v>
      </c>
      <c r="ACH34" s="1658"/>
      <c r="ACI34" s="49"/>
      <c r="ACP34" s="1657" t="s">
        <v>4</v>
      </c>
      <c r="ACQ34" s="1658"/>
      <c r="ACR34" s="49"/>
      <c r="ACY34" s="1657" t="s">
        <v>4</v>
      </c>
      <c r="ACZ34" s="1658"/>
      <c r="ADA34" s="49"/>
      <c r="ADH34" s="1657" t="s">
        <v>4</v>
      </c>
      <c r="ADI34" s="1658"/>
      <c r="ADJ34" s="49"/>
      <c r="ADQ34" s="1657" t="s">
        <v>4</v>
      </c>
      <c r="ADR34" s="1658"/>
      <c r="ADS34" s="49"/>
      <c r="ADZ34" s="1657" t="s">
        <v>4</v>
      </c>
      <c r="AEA34" s="1658"/>
      <c r="AEB34" s="49"/>
      <c r="AEI34" s="1657" t="s">
        <v>4</v>
      </c>
      <c r="AEJ34" s="1658"/>
      <c r="AEK34" s="49"/>
      <c r="AER34" s="1657" t="s">
        <v>4</v>
      </c>
      <c r="AES34" s="1658"/>
      <c r="AET34" s="49"/>
      <c r="AFA34" s="1657" t="s">
        <v>4</v>
      </c>
      <c r="AFB34" s="1658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3"/>
      <c r="AM35" s="363"/>
      <c r="AZ35" s="74"/>
      <c r="CP35" s="74" t="s">
        <v>41</v>
      </c>
      <c r="LV35" s="248" t="s">
        <v>4</v>
      </c>
      <c r="LW35" s="249"/>
      <c r="LX35" s="49"/>
      <c r="MA35" s="363"/>
      <c r="MB35" s="363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3"/>
      <c r="AM36" s="363"/>
      <c r="AZ36" s="74"/>
      <c r="MA36" s="363"/>
      <c r="MB36" s="363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3"/>
      <c r="AM37" s="363"/>
      <c r="AZ37" s="74"/>
      <c r="MA37" s="363"/>
      <c r="MB37" s="363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3"/>
      <c r="AM38" s="363"/>
      <c r="AZ38" s="74"/>
      <c r="MA38" s="363"/>
      <c r="MB38" s="363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3"/>
      <c r="AZ39" s="74"/>
      <c r="MA39" s="363"/>
      <c r="MB39" s="363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3"/>
      <c r="AZ40" s="74"/>
      <c r="MA40" s="363"/>
      <c r="MB40" s="363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3"/>
      <c r="AZ41" s="74"/>
      <c r="KI41" s="74">
        <v>0</v>
      </c>
      <c r="MA41" s="363"/>
      <c r="MB41" s="363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3"/>
      <c r="AZ42" s="74"/>
      <c r="MA42" s="363"/>
      <c r="MB42" s="363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3"/>
      <c r="MB43" s="363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3"/>
      <c r="MB44" s="363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5" ht="16.5" thickBot="1" x14ac:dyDescent="0.3">
      <c r="K2" s="404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90" t="s">
        <v>74</v>
      </c>
      <c r="C4" s="124"/>
      <c r="D4" s="130"/>
      <c r="E4" s="172"/>
      <c r="F4" s="133"/>
      <c r="G4" s="38"/>
    </row>
    <row r="5" spans="1:15" ht="15.75" x14ac:dyDescent="0.25">
      <c r="A5" s="1671"/>
      <c r="B5" s="1688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671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4">
        <f>E5+E6-F8+E4</f>
        <v>0</v>
      </c>
      <c r="J8" s="415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4">
        <f>I8-F9</f>
        <v>0</v>
      </c>
      <c r="J9" s="415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4">
        <f t="shared" ref="I10:I27" si="2">I9-F10</f>
        <v>0</v>
      </c>
      <c r="J10" s="415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4">
        <f t="shared" si="2"/>
        <v>0</v>
      </c>
      <c r="J11" s="415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4">
        <f t="shared" si="2"/>
        <v>0</v>
      </c>
      <c r="J12" s="415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6">
        <f t="shared" si="2"/>
        <v>0</v>
      </c>
      <c r="J13" s="415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6">
        <f t="shared" si="2"/>
        <v>0</v>
      </c>
      <c r="J14" s="415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6">
        <f t="shared" si="2"/>
        <v>0</v>
      </c>
      <c r="J15" s="415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6">
        <f t="shared" si="2"/>
        <v>0</v>
      </c>
      <c r="J16" s="415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6">
        <f t="shared" si="2"/>
        <v>0</v>
      </c>
      <c r="J17" s="415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6">
        <f t="shared" si="2"/>
        <v>0</v>
      </c>
      <c r="J18" s="415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6">
        <f t="shared" si="2"/>
        <v>0</v>
      </c>
      <c r="J19" s="415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6">
        <f t="shared" si="2"/>
        <v>0</v>
      </c>
      <c r="J20" s="415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6">
        <f t="shared" si="2"/>
        <v>0</v>
      </c>
      <c r="J21" s="415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6">
        <f t="shared" si="2"/>
        <v>0</v>
      </c>
      <c r="J22" s="415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6">
        <f t="shared" si="2"/>
        <v>0</v>
      </c>
      <c r="J23" s="415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6">
        <f t="shared" si="2"/>
        <v>0</v>
      </c>
      <c r="J24" s="415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6">
        <f t="shared" si="2"/>
        <v>0</v>
      </c>
      <c r="J25" s="415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6">
        <f t="shared" si="2"/>
        <v>0</v>
      </c>
      <c r="J26" s="415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4">
        <f t="shared" si="2"/>
        <v>0</v>
      </c>
      <c r="J27" s="4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7"/>
      <c r="J28" s="418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55" t="s">
        <v>21</v>
      </c>
      <c r="E31" s="1656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4"/>
    <col min="10" max="10" width="17.5703125" customWidth="1"/>
  </cols>
  <sheetData>
    <row r="1" spans="1:11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1" ht="16.5" thickBot="1" x14ac:dyDescent="0.3">
      <c r="K2" s="404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6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0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1">
        <f>E5+E6-F8+E4</f>
        <v>0</v>
      </c>
      <c r="J8" s="415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1">
        <f>I8-F9</f>
        <v>0</v>
      </c>
      <c r="J9" s="415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1">
        <f t="shared" ref="I10:I27" si="4">I9-F10</f>
        <v>0</v>
      </c>
      <c r="J10" s="415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1">
        <f t="shared" si="4"/>
        <v>0</v>
      </c>
      <c r="J11" s="415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1">
        <f t="shared" si="4"/>
        <v>0</v>
      </c>
      <c r="J12" s="415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1">
        <f t="shared" si="4"/>
        <v>0</v>
      </c>
      <c r="J13" s="415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1">
        <f t="shared" si="4"/>
        <v>0</v>
      </c>
      <c r="J14" s="415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1">
        <f t="shared" si="4"/>
        <v>0</v>
      </c>
      <c r="J15" s="415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1">
        <f t="shared" si="4"/>
        <v>0</v>
      </c>
      <c r="J16" s="415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1">
        <f t="shared" si="4"/>
        <v>0</v>
      </c>
      <c r="J17" s="415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1">
        <f t="shared" si="4"/>
        <v>0</v>
      </c>
      <c r="J18" s="415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1">
        <f t="shared" si="4"/>
        <v>0</v>
      </c>
      <c r="J19" s="415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1">
        <f t="shared" si="4"/>
        <v>0</v>
      </c>
      <c r="J20" s="415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1">
        <f t="shared" si="4"/>
        <v>0</v>
      </c>
      <c r="J21" s="415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1">
        <f t="shared" si="4"/>
        <v>0</v>
      </c>
      <c r="J22" s="415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1">
        <f t="shared" si="4"/>
        <v>0</v>
      </c>
      <c r="J23" s="415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1">
        <f t="shared" si="4"/>
        <v>0</v>
      </c>
      <c r="J24" s="415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1">
        <f t="shared" si="4"/>
        <v>0</v>
      </c>
      <c r="J25" s="415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1">
        <f t="shared" si="4"/>
        <v>0</v>
      </c>
      <c r="J26" s="415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1">
        <f t="shared" si="4"/>
        <v>0</v>
      </c>
      <c r="J27" s="415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32"/>
      <c r="J28" s="418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655" t="s">
        <v>21</v>
      </c>
      <c r="E31" s="1656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671" t="s">
        <v>108</v>
      </c>
      <c r="B5" s="1686" t="s">
        <v>109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671"/>
      <c r="B6" s="1687"/>
      <c r="C6" s="124"/>
      <c r="D6" s="145"/>
      <c r="E6" s="85"/>
      <c r="F6" s="72"/>
    </row>
    <row r="7" spans="1:11" ht="17.25" thickTop="1" thickBot="1" x14ac:dyDescent="0.3">
      <c r="A7" s="317"/>
      <c r="B7" s="78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70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43">
        <f>E4+E5+E6-F8</f>
        <v>0</v>
      </c>
      <c r="J8" s="421">
        <f>H8*F8</f>
        <v>0</v>
      </c>
    </row>
    <row r="9" spans="1:11" ht="15.75" x14ac:dyDescent="0.25">
      <c r="B9" s="670">
        <f>B8-C9</f>
        <v>0</v>
      </c>
      <c r="C9" s="15"/>
      <c r="D9" s="68">
        <v>0</v>
      </c>
      <c r="E9" s="231"/>
      <c r="F9" s="596">
        <f t="shared" si="0"/>
        <v>0</v>
      </c>
      <c r="G9" s="563"/>
      <c r="H9" s="564"/>
      <c r="I9" s="597">
        <f>I8-F9</f>
        <v>0</v>
      </c>
      <c r="J9" s="598">
        <f t="shared" ref="J9:J39" si="1">H9*F9</f>
        <v>0</v>
      </c>
    </row>
    <row r="10" spans="1:11" ht="15.75" x14ac:dyDescent="0.25">
      <c r="B10" s="670">
        <f t="shared" ref="B10:B39" si="2">B9-C10</f>
        <v>0</v>
      </c>
      <c r="C10" s="15"/>
      <c r="D10" s="68">
        <v>0</v>
      </c>
      <c r="E10" s="231"/>
      <c r="F10" s="596">
        <f t="shared" si="0"/>
        <v>0</v>
      </c>
      <c r="G10" s="563"/>
      <c r="H10" s="564"/>
      <c r="I10" s="597">
        <f t="shared" ref="I10:I38" si="3">I9-F10</f>
        <v>0</v>
      </c>
      <c r="J10" s="59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96">
        <f t="shared" si="0"/>
        <v>0</v>
      </c>
      <c r="G11" s="563"/>
      <c r="H11" s="564"/>
      <c r="I11" s="597">
        <f t="shared" si="3"/>
        <v>0</v>
      </c>
      <c r="J11" s="59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96">
        <f t="shared" si="0"/>
        <v>0</v>
      </c>
      <c r="G12" s="563"/>
      <c r="H12" s="564"/>
      <c r="I12" s="597">
        <f t="shared" si="3"/>
        <v>0</v>
      </c>
      <c r="J12" s="598">
        <f t="shared" si="1"/>
        <v>0</v>
      </c>
      <c r="K12" s="59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96">
        <f t="shared" si="0"/>
        <v>0</v>
      </c>
      <c r="G13" s="563"/>
      <c r="H13" s="564"/>
      <c r="I13" s="597">
        <f t="shared" si="3"/>
        <v>0</v>
      </c>
      <c r="J13" s="598">
        <f t="shared" si="1"/>
        <v>0</v>
      </c>
      <c r="K13" s="59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96">
        <f t="shared" si="0"/>
        <v>0</v>
      </c>
      <c r="G14" s="563"/>
      <c r="H14" s="564"/>
      <c r="I14" s="597">
        <f t="shared" si="3"/>
        <v>0</v>
      </c>
      <c r="J14" s="598">
        <f t="shared" si="1"/>
        <v>0</v>
      </c>
      <c r="K14" s="59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96">
        <f t="shared" si="0"/>
        <v>0</v>
      </c>
      <c r="G15" s="563"/>
      <c r="H15" s="564"/>
      <c r="I15" s="597">
        <f t="shared" si="3"/>
        <v>0</v>
      </c>
      <c r="J15" s="598">
        <f t="shared" si="1"/>
        <v>0</v>
      </c>
      <c r="K15" s="59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96">
        <f>D16</f>
        <v>0</v>
      </c>
      <c r="G16" s="563"/>
      <c r="H16" s="564"/>
      <c r="I16" s="597">
        <f t="shared" si="3"/>
        <v>0</v>
      </c>
      <c r="J16" s="598">
        <f t="shared" si="1"/>
        <v>0</v>
      </c>
      <c r="K16" s="59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96">
        <f>D17</f>
        <v>0</v>
      </c>
      <c r="G17" s="563"/>
      <c r="H17" s="564"/>
      <c r="I17" s="597">
        <f t="shared" si="3"/>
        <v>0</v>
      </c>
      <c r="J17" s="598">
        <f t="shared" si="1"/>
        <v>0</v>
      </c>
      <c r="K17" s="59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96">
        <f t="shared" ref="F18:F39" si="4">D18</f>
        <v>0</v>
      </c>
      <c r="G18" s="563"/>
      <c r="H18" s="564"/>
      <c r="I18" s="597">
        <f t="shared" si="3"/>
        <v>0</v>
      </c>
      <c r="J18" s="598">
        <f t="shared" si="1"/>
        <v>0</v>
      </c>
      <c r="K18" s="59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96">
        <f t="shared" si="4"/>
        <v>0</v>
      </c>
      <c r="G19" s="563"/>
      <c r="H19" s="564"/>
      <c r="I19" s="597">
        <f t="shared" si="3"/>
        <v>0</v>
      </c>
      <c r="J19" s="598">
        <f t="shared" si="1"/>
        <v>0</v>
      </c>
      <c r="K19" s="59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96">
        <f t="shared" si="4"/>
        <v>0</v>
      </c>
      <c r="G20" s="563"/>
      <c r="H20" s="564"/>
      <c r="I20" s="597">
        <f t="shared" si="3"/>
        <v>0</v>
      </c>
      <c r="J20" s="598">
        <f t="shared" si="1"/>
        <v>0</v>
      </c>
      <c r="K20" s="59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96">
        <f t="shared" si="4"/>
        <v>0</v>
      </c>
      <c r="G21" s="563"/>
      <c r="H21" s="564"/>
      <c r="I21" s="597">
        <f t="shared" si="3"/>
        <v>0</v>
      </c>
      <c r="J21" s="598">
        <f t="shared" si="1"/>
        <v>0</v>
      </c>
      <c r="K21" s="59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3">
        <f t="shared" si="3"/>
        <v>0</v>
      </c>
      <c r="J22" s="422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3">
        <f t="shared" si="3"/>
        <v>0</v>
      </c>
      <c r="J23" s="422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3">
        <f t="shared" si="3"/>
        <v>0</v>
      </c>
      <c r="J24" s="422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3">
        <f t="shared" si="3"/>
        <v>0</v>
      </c>
      <c r="J25" s="422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3">
        <f t="shared" si="3"/>
        <v>0</v>
      </c>
      <c r="J26" s="422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3">
        <f t="shared" si="3"/>
        <v>0</v>
      </c>
      <c r="J27" s="422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3">
        <f t="shared" si="3"/>
        <v>0</v>
      </c>
      <c r="J28" s="422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3">
        <f t="shared" si="3"/>
        <v>0</v>
      </c>
      <c r="J29" s="422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3">
        <f t="shared" si="3"/>
        <v>0</v>
      </c>
      <c r="J30" s="422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3">
        <f t="shared" si="3"/>
        <v>0</v>
      </c>
      <c r="J31" s="422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3">
        <f t="shared" si="3"/>
        <v>0</v>
      </c>
      <c r="J32" s="422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3">
        <f t="shared" si="3"/>
        <v>0</v>
      </c>
      <c r="J33" s="422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3">
        <f t="shared" si="3"/>
        <v>0</v>
      </c>
      <c r="J34" s="422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3">
        <f t="shared" si="3"/>
        <v>0</v>
      </c>
      <c r="J35" s="422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3">
        <f t="shared" si="3"/>
        <v>0</v>
      </c>
      <c r="J36" s="422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3">
        <f t="shared" si="3"/>
        <v>0</v>
      </c>
      <c r="J37" s="422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3">
        <f t="shared" si="3"/>
        <v>0</v>
      </c>
      <c r="J38" s="422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9"/>
      <c r="J39" s="420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655" t="s">
        <v>21</v>
      </c>
      <c r="E42" s="1656"/>
      <c r="F42" s="137">
        <f>E4+E5-F40+E6</f>
        <v>0</v>
      </c>
    </row>
    <row r="43" spans="1:10" ht="15.75" thickBot="1" x14ac:dyDescent="0.3">
      <c r="A43" s="121"/>
      <c r="D43" s="847" t="s">
        <v>4</v>
      </c>
      <c r="E43" s="84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29" activePane="bottomLeft" state="frozen"/>
      <selection pane="bottomLeft" activeCell="C51" sqref="C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91" t="s">
        <v>313</v>
      </c>
      <c r="B1" s="1691"/>
      <c r="C1" s="1691"/>
      <c r="D1" s="1691"/>
      <c r="E1" s="1691"/>
      <c r="F1" s="1691"/>
      <c r="G1" s="1691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812"/>
      <c r="C4" s="230"/>
      <c r="D4" s="130"/>
      <c r="E4" s="357"/>
      <c r="F4" s="72"/>
      <c r="G4" s="966"/>
      <c r="H4" s="144"/>
      <c r="I4" s="369"/>
    </row>
    <row r="5" spans="1:10" ht="14.25" customHeight="1" x14ac:dyDescent="0.25">
      <c r="A5" s="1667" t="s">
        <v>97</v>
      </c>
      <c r="B5" s="1692" t="s">
        <v>143</v>
      </c>
      <c r="C5" s="362">
        <v>480</v>
      </c>
      <c r="D5" s="130">
        <v>45044</v>
      </c>
      <c r="E5" s="85">
        <v>4800</v>
      </c>
      <c r="F5" s="72">
        <v>480</v>
      </c>
      <c r="G5" s="48">
        <f>F70</f>
        <v>3340</v>
      </c>
      <c r="H5" s="134">
        <f>E5-G5+E4+E6+E7</f>
        <v>1460</v>
      </c>
      <c r="I5" s="366"/>
    </row>
    <row r="6" spans="1:10" x14ac:dyDescent="0.25">
      <c r="A6" s="1667"/>
      <c r="B6" s="1692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92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137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70">
        <f>B9-C10</f>
        <v>460</v>
      </c>
      <c r="C10" s="624">
        <v>10</v>
      </c>
      <c r="D10" s="565">
        <f>C10*10</f>
        <v>100</v>
      </c>
      <c r="E10" s="646">
        <v>45045</v>
      </c>
      <c r="F10" s="562">
        <f t="shared" ref="F10:F69" si="0">D10</f>
        <v>100</v>
      </c>
      <c r="G10" s="563" t="s">
        <v>139</v>
      </c>
      <c r="H10" s="564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70">
        <f t="shared" ref="B11:B69" si="2">B10-C11</f>
        <v>459</v>
      </c>
      <c r="C11" s="624">
        <v>1</v>
      </c>
      <c r="D11" s="565">
        <f t="shared" ref="D11:D69" si="3">C11*10</f>
        <v>10</v>
      </c>
      <c r="E11" s="646">
        <v>45045</v>
      </c>
      <c r="F11" s="562">
        <f t="shared" si="0"/>
        <v>10</v>
      </c>
      <c r="G11" s="563" t="s">
        <v>140</v>
      </c>
      <c r="H11" s="564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70">
        <f t="shared" si="2"/>
        <v>458</v>
      </c>
      <c r="C12" s="624">
        <v>1</v>
      </c>
      <c r="D12" s="565">
        <f t="shared" si="3"/>
        <v>10</v>
      </c>
      <c r="E12" s="646">
        <v>45052</v>
      </c>
      <c r="F12" s="562">
        <f t="shared" si="0"/>
        <v>10</v>
      </c>
      <c r="G12" s="563" t="s">
        <v>150</v>
      </c>
      <c r="H12" s="56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28">
        <f t="shared" si="2"/>
        <v>448</v>
      </c>
      <c r="C13" s="624">
        <v>10</v>
      </c>
      <c r="D13" s="565">
        <f t="shared" si="3"/>
        <v>100</v>
      </c>
      <c r="E13" s="646">
        <v>45055</v>
      </c>
      <c r="F13" s="562">
        <f t="shared" si="0"/>
        <v>100</v>
      </c>
      <c r="G13" s="563" t="s">
        <v>152</v>
      </c>
      <c r="H13" s="564">
        <v>48</v>
      </c>
      <c r="I13" s="929">
        <f t="shared" si="4"/>
        <v>4480</v>
      </c>
      <c r="J13" s="59">
        <f t="shared" si="1"/>
        <v>4800</v>
      </c>
    </row>
    <row r="14" spans="1:10" x14ac:dyDescent="0.25">
      <c r="A14" s="74"/>
      <c r="B14" s="670">
        <f t="shared" si="2"/>
        <v>448</v>
      </c>
      <c r="C14" s="624"/>
      <c r="D14" s="565">
        <f t="shared" si="3"/>
        <v>0</v>
      </c>
      <c r="E14" s="972"/>
      <c r="F14" s="562">
        <f t="shared" si="0"/>
        <v>0</v>
      </c>
      <c r="G14" s="563"/>
      <c r="H14" s="56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70">
        <f t="shared" si="2"/>
        <v>440</v>
      </c>
      <c r="C15" s="624">
        <v>8</v>
      </c>
      <c r="D15" s="802">
        <f t="shared" si="3"/>
        <v>80</v>
      </c>
      <c r="E15" s="1053">
        <v>45059</v>
      </c>
      <c r="F15" s="705">
        <f t="shared" si="0"/>
        <v>80</v>
      </c>
      <c r="G15" s="803" t="s">
        <v>161</v>
      </c>
      <c r="H15" s="804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70">
        <f t="shared" si="2"/>
        <v>430</v>
      </c>
      <c r="C16" s="624">
        <v>10</v>
      </c>
      <c r="D16" s="802">
        <f t="shared" si="3"/>
        <v>100</v>
      </c>
      <c r="E16" s="1053">
        <v>45059</v>
      </c>
      <c r="F16" s="705">
        <f t="shared" si="0"/>
        <v>100</v>
      </c>
      <c r="G16" s="803" t="s">
        <v>163</v>
      </c>
      <c r="H16" s="804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70">
        <f t="shared" si="2"/>
        <v>422</v>
      </c>
      <c r="C17" s="624">
        <v>8</v>
      </c>
      <c r="D17" s="802">
        <f t="shared" si="3"/>
        <v>80</v>
      </c>
      <c r="E17" s="1053">
        <v>45066</v>
      </c>
      <c r="F17" s="705">
        <f t="shared" si="0"/>
        <v>80</v>
      </c>
      <c r="G17" s="803" t="s">
        <v>172</v>
      </c>
      <c r="H17" s="804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70">
        <f t="shared" si="2"/>
        <v>412</v>
      </c>
      <c r="C18" s="624">
        <v>10</v>
      </c>
      <c r="D18" s="802">
        <f t="shared" si="3"/>
        <v>100</v>
      </c>
      <c r="E18" s="1053">
        <v>45068</v>
      </c>
      <c r="F18" s="705">
        <f t="shared" si="0"/>
        <v>100</v>
      </c>
      <c r="G18" s="803" t="s">
        <v>174</v>
      </c>
      <c r="H18" s="804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28">
        <f t="shared" si="2"/>
        <v>404</v>
      </c>
      <c r="C19" s="624">
        <v>8</v>
      </c>
      <c r="D19" s="802">
        <f t="shared" si="3"/>
        <v>80</v>
      </c>
      <c r="E19" s="1053">
        <v>45082</v>
      </c>
      <c r="F19" s="705">
        <f t="shared" si="0"/>
        <v>80</v>
      </c>
      <c r="G19" s="803" t="s">
        <v>195</v>
      </c>
      <c r="H19" s="804">
        <v>48</v>
      </c>
      <c r="I19" s="929">
        <f t="shared" si="4"/>
        <v>4040</v>
      </c>
      <c r="J19" s="59">
        <f t="shared" si="1"/>
        <v>3840</v>
      </c>
    </row>
    <row r="20" spans="1:10" x14ac:dyDescent="0.25">
      <c r="A20" s="74"/>
      <c r="B20" s="670">
        <f t="shared" si="2"/>
        <v>404</v>
      </c>
      <c r="C20" s="624"/>
      <c r="D20" s="802">
        <f t="shared" si="3"/>
        <v>0</v>
      </c>
      <c r="E20" s="1053"/>
      <c r="F20" s="705">
        <f t="shared" si="0"/>
        <v>0</v>
      </c>
      <c r="G20" s="803"/>
      <c r="H20" s="804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70">
        <f t="shared" si="2"/>
        <v>399</v>
      </c>
      <c r="C21" s="624">
        <v>5</v>
      </c>
      <c r="D21" s="708">
        <f t="shared" si="3"/>
        <v>50</v>
      </c>
      <c r="E21" s="972">
        <v>45084</v>
      </c>
      <c r="F21" s="707">
        <f t="shared" si="0"/>
        <v>50</v>
      </c>
      <c r="G21" s="709" t="s">
        <v>206</v>
      </c>
      <c r="H21" s="710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70">
        <f t="shared" si="2"/>
        <v>394</v>
      </c>
      <c r="C22" s="624">
        <v>5</v>
      </c>
      <c r="D22" s="708">
        <f t="shared" si="3"/>
        <v>50</v>
      </c>
      <c r="E22" s="972">
        <v>45087</v>
      </c>
      <c r="F22" s="707">
        <f t="shared" si="0"/>
        <v>50</v>
      </c>
      <c r="G22" s="709" t="s">
        <v>210</v>
      </c>
      <c r="H22" s="710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70">
        <f t="shared" si="2"/>
        <v>392</v>
      </c>
      <c r="C23" s="624">
        <v>2</v>
      </c>
      <c r="D23" s="708">
        <f t="shared" si="3"/>
        <v>20</v>
      </c>
      <c r="E23" s="972">
        <v>45087</v>
      </c>
      <c r="F23" s="707">
        <f t="shared" si="0"/>
        <v>20</v>
      </c>
      <c r="G23" s="709" t="s">
        <v>218</v>
      </c>
      <c r="H23" s="710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70">
        <f t="shared" si="2"/>
        <v>386</v>
      </c>
      <c r="C24" s="624">
        <v>6</v>
      </c>
      <c r="D24" s="708">
        <f t="shared" si="3"/>
        <v>60</v>
      </c>
      <c r="E24" s="972">
        <v>45089</v>
      </c>
      <c r="F24" s="707">
        <f t="shared" si="0"/>
        <v>60</v>
      </c>
      <c r="G24" s="709" t="s">
        <v>215</v>
      </c>
      <c r="H24" s="710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70">
        <f t="shared" si="2"/>
        <v>382</v>
      </c>
      <c r="C25" s="624">
        <v>4</v>
      </c>
      <c r="D25" s="708">
        <f t="shared" si="3"/>
        <v>40</v>
      </c>
      <c r="E25" s="972">
        <v>45094</v>
      </c>
      <c r="F25" s="707">
        <f t="shared" si="0"/>
        <v>40</v>
      </c>
      <c r="G25" s="709" t="s">
        <v>238</v>
      </c>
      <c r="H25" s="710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70">
        <f t="shared" si="2"/>
        <v>352</v>
      </c>
      <c r="C26" s="624">
        <v>30</v>
      </c>
      <c r="D26" s="708">
        <f t="shared" si="3"/>
        <v>300</v>
      </c>
      <c r="E26" s="972">
        <v>45098</v>
      </c>
      <c r="F26" s="707">
        <f t="shared" si="0"/>
        <v>300</v>
      </c>
      <c r="G26" s="709" t="s">
        <v>246</v>
      </c>
      <c r="H26" s="1206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70">
        <f t="shared" si="2"/>
        <v>348</v>
      </c>
      <c r="C27" s="624">
        <v>4</v>
      </c>
      <c r="D27" s="708">
        <f t="shared" si="3"/>
        <v>40</v>
      </c>
      <c r="E27" s="972">
        <v>45099</v>
      </c>
      <c r="F27" s="707">
        <f t="shared" si="0"/>
        <v>40</v>
      </c>
      <c r="G27" s="709" t="s">
        <v>251</v>
      </c>
      <c r="H27" s="710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70">
        <f t="shared" si="2"/>
        <v>347</v>
      </c>
      <c r="C28" s="624">
        <v>1</v>
      </c>
      <c r="D28" s="708">
        <f t="shared" si="3"/>
        <v>10</v>
      </c>
      <c r="E28" s="972">
        <v>45100</v>
      </c>
      <c r="F28" s="707">
        <f t="shared" si="0"/>
        <v>10</v>
      </c>
      <c r="G28" s="709" t="s">
        <v>252</v>
      </c>
      <c r="H28" s="710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70">
        <f t="shared" si="2"/>
        <v>287</v>
      </c>
      <c r="C29" s="624">
        <v>60</v>
      </c>
      <c r="D29" s="708">
        <f t="shared" si="3"/>
        <v>600</v>
      </c>
      <c r="E29" s="972">
        <v>45104</v>
      </c>
      <c r="F29" s="707">
        <f t="shared" si="0"/>
        <v>600</v>
      </c>
      <c r="G29" s="709" t="s">
        <v>278</v>
      </c>
      <c r="H29" s="1206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70">
        <f t="shared" si="2"/>
        <v>283</v>
      </c>
      <c r="C30" s="624">
        <v>4</v>
      </c>
      <c r="D30" s="708">
        <f t="shared" si="3"/>
        <v>40</v>
      </c>
      <c r="E30" s="972">
        <v>45105</v>
      </c>
      <c r="F30" s="707">
        <f t="shared" si="0"/>
        <v>40</v>
      </c>
      <c r="G30" s="709" t="s">
        <v>287</v>
      </c>
      <c r="H30" s="710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28">
        <f t="shared" si="2"/>
        <v>278</v>
      </c>
      <c r="C31" s="624">
        <v>5</v>
      </c>
      <c r="D31" s="708">
        <f t="shared" si="3"/>
        <v>50</v>
      </c>
      <c r="E31" s="972">
        <v>45108</v>
      </c>
      <c r="F31" s="707">
        <f t="shared" si="0"/>
        <v>50</v>
      </c>
      <c r="G31" s="709" t="s">
        <v>297</v>
      </c>
      <c r="H31" s="710">
        <v>48</v>
      </c>
      <c r="I31" s="929">
        <f t="shared" si="4"/>
        <v>2780</v>
      </c>
      <c r="J31" s="59">
        <f t="shared" si="1"/>
        <v>2400</v>
      </c>
    </row>
    <row r="32" spans="1:10" x14ac:dyDescent="0.25">
      <c r="A32" s="74"/>
      <c r="B32" s="670">
        <f t="shared" si="2"/>
        <v>278</v>
      </c>
      <c r="C32" s="624"/>
      <c r="D32" s="708">
        <f t="shared" si="3"/>
        <v>0</v>
      </c>
      <c r="E32" s="972"/>
      <c r="F32" s="707">
        <f t="shared" si="0"/>
        <v>0</v>
      </c>
      <c r="G32" s="709"/>
      <c r="H32" s="710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70">
        <f t="shared" si="2"/>
        <v>273</v>
      </c>
      <c r="C33" s="624">
        <v>5</v>
      </c>
      <c r="D33" s="1264">
        <f t="shared" si="3"/>
        <v>50</v>
      </c>
      <c r="E33" s="1265">
        <v>45110</v>
      </c>
      <c r="F33" s="1266">
        <f t="shared" si="0"/>
        <v>50</v>
      </c>
      <c r="G33" s="1267" t="s">
        <v>497</v>
      </c>
      <c r="H33" s="1268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70">
        <f t="shared" si="2"/>
        <v>270</v>
      </c>
      <c r="C34" s="624">
        <v>3</v>
      </c>
      <c r="D34" s="1264">
        <f t="shared" si="3"/>
        <v>30</v>
      </c>
      <c r="E34" s="1265">
        <v>45113</v>
      </c>
      <c r="F34" s="1266">
        <f t="shared" si="0"/>
        <v>30</v>
      </c>
      <c r="G34" s="1267" t="s">
        <v>524</v>
      </c>
      <c r="H34" s="1268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70">
        <f t="shared" si="2"/>
        <v>262</v>
      </c>
      <c r="C35" s="624">
        <v>8</v>
      </c>
      <c r="D35" s="1264">
        <f t="shared" si="3"/>
        <v>80</v>
      </c>
      <c r="E35" s="1265">
        <v>45117</v>
      </c>
      <c r="F35" s="1266">
        <f t="shared" si="0"/>
        <v>80</v>
      </c>
      <c r="G35" s="1267" t="s">
        <v>552</v>
      </c>
      <c r="H35" s="1268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70">
        <f t="shared" si="2"/>
        <v>257</v>
      </c>
      <c r="C36" s="624">
        <v>5</v>
      </c>
      <c r="D36" s="1264">
        <f t="shared" si="3"/>
        <v>50</v>
      </c>
      <c r="E36" s="1265">
        <v>45118</v>
      </c>
      <c r="F36" s="1266">
        <f t="shared" si="0"/>
        <v>50</v>
      </c>
      <c r="G36" s="1267" t="s">
        <v>563</v>
      </c>
      <c r="H36" s="1268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70">
        <f t="shared" si="2"/>
        <v>256</v>
      </c>
      <c r="C37" s="624">
        <v>1</v>
      </c>
      <c r="D37" s="1264">
        <f t="shared" si="3"/>
        <v>10</v>
      </c>
      <c r="E37" s="1265">
        <v>45119</v>
      </c>
      <c r="F37" s="1266">
        <f t="shared" si="0"/>
        <v>10</v>
      </c>
      <c r="G37" s="1267" t="s">
        <v>577</v>
      </c>
      <c r="H37" s="1268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70">
        <f t="shared" si="2"/>
        <v>254</v>
      </c>
      <c r="C38" s="576">
        <v>2</v>
      </c>
      <c r="D38" s="1264">
        <f t="shared" si="3"/>
        <v>20</v>
      </c>
      <c r="E38" s="1269">
        <v>45121</v>
      </c>
      <c r="F38" s="1266">
        <f t="shared" si="0"/>
        <v>20</v>
      </c>
      <c r="G38" s="1267" t="s">
        <v>600</v>
      </c>
      <c r="H38" s="1268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70">
        <f t="shared" si="2"/>
        <v>244</v>
      </c>
      <c r="C39" s="576">
        <v>10</v>
      </c>
      <c r="D39" s="1264">
        <f t="shared" si="3"/>
        <v>100</v>
      </c>
      <c r="E39" s="1269">
        <v>45122</v>
      </c>
      <c r="F39" s="1266">
        <f t="shared" si="0"/>
        <v>100</v>
      </c>
      <c r="G39" s="1267" t="s">
        <v>607</v>
      </c>
      <c r="H39" s="1268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70">
        <f t="shared" si="2"/>
        <v>239</v>
      </c>
      <c r="C40" s="576">
        <v>5</v>
      </c>
      <c r="D40" s="1264">
        <f t="shared" si="3"/>
        <v>50</v>
      </c>
      <c r="E40" s="1269">
        <v>45122</v>
      </c>
      <c r="F40" s="1266">
        <f t="shared" si="0"/>
        <v>50</v>
      </c>
      <c r="G40" s="1267" t="s">
        <v>613</v>
      </c>
      <c r="H40" s="1268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70">
        <f t="shared" si="2"/>
        <v>231</v>
      </c>
      <c r="C41" s="624">
        <v>8</v>
      </c>
      <c r="D41" s="1264">
        <f t="shared" si="3"/>
        <v>80</v>
      </c>
      <c r="E41" s="1269">
        <v>45125</v>
      </c>
      <c r="F41" s="1266">
        <f t="shared" si="0"/>
        <v>80</v>
      </c>
      <c r="G41" s="1267" t="s">
        <v>634</v>
      </c>
      <c r="H41" s="1268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70">
        <f t="shared" si="2"/>
        <v>181</v>
      </c>
      <c r="C42" s="624">
        <v>50</v>
      </c>
      <c r="D42" s="1264">
        <f t="shared" si="3"/>
        <v>500</v>
      </c>
      <c r="E42" s="1269">
        <v>45125</v>
      </c>
      <c r="F42" s="1266">
        <f t="shared" si="0"/>
        <v>500</v>
      </c>
      <c r="G42" s="1267" t="s">
        <v>638</v>
      </c>
      <c r="H42" s="1268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70">
        <f t="shared" si="2"/>
        <v>175</v>
      </c>
      <c r="C43" s="624">
        <v>6</v>
      </c>
      <c r="D43" s="1264">
        <f t="shared" si="3"/>
        <v>60</v>
      </c>
      <c r="E43" s="1269">
        <v>45128</v>
      </c>
      <c r="F43" s="1266">
        <f t="shared" si="0"/>
        <v>60</v>
      </c>
      <c r="G43" s="1267" t="s">
        <v>658</v>
      </c>
      <c r="H43" s="1268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70">
        <f t="shared" si="2"/>
        <v>172</v>
      </c>
      <c r="C44" s="624">
        <v>3</v>
      </c>
      <c r="D44" s="1264">
        <f t="shared" si="3"/>
        <v>30</v>
      </c>
      <c r="E44" s="1269">
        <v>45129</v>
      </c>
      <c r="F44" s="1266">
        <f t="shared" si="0"/>
        <v>30</v>
      </c>
      <c r="G44" s="1267" t="s">
        <v>670</v>
      </c>
      <c r="H44" s="1268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70">
        <f t="shared" si="2"/>
        <v>166</v>
      </c>
      <c r="C45" s="624">
        <v>6</v>
      </c>
      <c r="D45" s="1264">
        <f t="shared" si="3"/>
        <v>60</v>
      </c>
      <c r="E45" s="1269">
        <v>45129</v>
      </c>
      <c r="F45" s="1266">
        <f t="shared" si="0"/>
        <v>60</v>
      </c>
      <c r="G45" s="1267" t="s">
        <v>671</v>
      </c>
      <c r="H45" s="1268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70">
        <f t="shared" si="2"/>
        <v>165</v>
      </c>
      <c r="C46" s="624">
        <v>1</v>
      </c>
      <c r="D46" s="1264">
        <f t="shared" si="3"/>
        <v>10</v>
      </c>
      <c r="E46" s="1269">
        <v>45129</v>
      </c>
      <c r="F46" s="1266">
        <f t="shared" si="0"/>
        <v>10</v>
      </c>
      <c r="G46" s="1267" t="s">
        <v>675</v>
      </c>
      <c r="H46" s="1268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70">
        <f t="shared" si="2"/>
        <v>159</v>
      </c>
      <c r="C47" s="624">
        <v>6</v>
      </c>
      <c r="D47" s="1264">
        <f t="shared" si="3"/>
        <v>60</v>
      </c>
      <c r="E47" s="1269">
        <v>45131</v>
      </c>
      <c r="F47" s="1266">
        <f t="shared" si="0"/>
        <v>60</v>
      </c>
      <c r="G47" s="1267" t="s">
        <v>680</v>
      </c>
      <c r="H47" s="1268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70">
        <f t="shared" si="2"/>
        <v>151</v>
      </c>
      <c r="C48" s="624">
        <v>8</v>
      </c>
      <c r="D48" s="1264">
        <f t="shared" si="3"/>
        <v>80</v>
      </c>
      <c r="E48" s="1269">
        <v>45134</v>
      </c>
      <c r="F48" s="1266">
        <f t="shared" si="0"/>
        <v>80</v>
      </c>
      <c r="G48" s="1267" t="s">
        <v>703</v>
      </c>
      <c r="H48" s="1268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70">
        <f t="shared" si="2"/>
        <v>147</v>
      </c>
      <c r="C49" s="624">
        <v>4</v>
      </c>
      <c r="D49" s="1264">
        <f t="shared" si="3"/>
        <v>40</v>
      </c>
      <c r="E49" s="1269">
        <v>45136</v>
      </c>
      <c r="F49" s="1266">
        <f t="shared" si="0"/>
        <v>40</v>
      </c>
      <c r="G49" s="1267" t="s">
        <v>723</v>
      </c>
      <c r="H49" s="1268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70">
        <f t="shared" si="2"/>
        <v>146</v>
      </c>
      <c r="C50" s="624">
        <v>1</v>
      </c>
      <c r="D50" s="1264">
        <f t="shared" si="3"/>
        <v>10</v>
      </c>
      <c r="E50" s="1269">
        <v>45136</v>
      </c>
      <c r="F50" s="1266">
        <f t="shared" si="0"/>
        <v>10</v>
      </c>
      <c r="G50" s="1267" t="s">
        <v>731</v>
      </c>
      <c r="H50" s="1268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70">
        <f t="shared" si="2"/>
        <v>146</v>
      </c>
      <c r="C51" s="624"/>
      <c r="D51" s="1264">
        <f t="shared" si="3"/>
        <v>0</v>
      </c>
      <c r="E51" s="1269"/>
      <c r="F51" s="1266">
        <f t="shared" si="0"/>
        <v>0</v>
      </c>
      <c r="G51" s="1267"/>
      <c r="H51" s="1268"/>
      <c r="I51" s="230">
        <f t="shared" si="5"/>
        <v>1460</v>
      </c>
      <c r="J51" s="59">
        <f t="shared" si="6"/>
        <v>0</v>
      </c>
    </row>
    <row r="52" spans="1:10" ht="15.75" x14ac:dyDescent="0.25">
      <c r="A52" s="19"/>
      <c r="B52" s="670">
        <f t="shared" si="2"/>
        <v>146</v>
      </c>
      <c r="C52" s="624"/>
      <c r="D52" s="1264">
        <f t="shared" si="3"/>
        <v>0</v>
      </c>
      <c r="E52" s="1269"/>
      <c r="F52" s="1266">
        <f t="shared" si="0"/>
        <v>0</v>
      </c>
      <c r="G52" s="1267"/>
      <c r="H52" s="1268"/>
      <c r="I52" s="230">
        <f t="shared" si="5"/>
        <v>1460</v>
      </c>
      <c r="J52" s="59">
        <f t="shared" si="6"/>
        <v>0</v>
      </c>
    </row>
    <row r="53" spans="1:10" ht="15.75" x14ac:dyDescent="0.25">
      <c r="A53" s="19"/>
      <c r="B53" s="670">
        <f t="shared" si="2"/>
        <v>146</v>
      </c>
      <c r="C53" s="624"/>
      <c r="D53" s="1264">
        <f t="shared" si="3"/>
        <v>0</v>
      </c>
      <c r="E53" s="1269"/>
      <c r="F53" s="1266">
        <f t="shared" si="0"/>
        <v>0</v>
      </c>
      <c r="G53" s="1267"/>
      <c r="H53" s="1268"/>
      <c r="I53" s="230">
        <f t="shared" si="5"/>
        <v>1460</v>
      </c>
      <c r="J53" s="59">
        <f t="shared" si="6"/>
        <v>0</v>
      </c>
    </row>
    <row r="54" spans="1:10" ht="15.75" x14ac:dyDescent="0.25">
      <c r="A54" s="19"/>
      <c r="B54" s="670">
        <f t="shared" si="2"/>
        <v>146</v>
      </c>
      <c r="C54" s="624"/>
      <c r="D54" s="1264">
        <f t="shared" si="3"/>
        <v>0</v>
      </c>
      <c r="E54" s="1269"/>
      <c r="F54" s="1266">
        <f t="shared" si="0"/>
        <v>0</v>
      </c>
      <c r="G54" s="1267"/>
      <c r="H54" s="1268"/>
      <c r="I54" s="230">
        <f t="shared" si="5"/>
        <v>1460</v>
      </c>
      <c r="J54" s="59">
        <f t="shared" si="6"/>
        <v>0</v>
      </c>
    </row>
    <row r="55" spans="1:10" ht="15.75" x14ac:dyDescent="0.25">
      <c r="A55" s="19"/>
      <c r="B55" s="670">
        <f t="shared" si="2"/>
        <v>146</v>
      </c>
      <c r="C55" s="624"/>
      <c r="D55" s="1264">
        <f t="shared" si="3"/>
        <v>0</v>
      </c>
      <c r="E55" s="1269"/>
      <c r="F55" s="1266">
        <f t="shared" si="0"/>
        <v>0</v>
      </c>
      <c r="G55" s="1267"/>
      <c r="H55" s="1268"/>
      <c r="I55" s="230">
        <f t="shared" si="5"/>
        <v>1460</v>
      </c>
      <c r="J55" s="59">
        <f t="shared" si="6"/>
        <v>0</v>
      </c>
    </row>
    <row r="56" spans="1:10" ht="15.75" x14ac:dyDescent="0.25">
      <c r="A56" s="19"/>
      <c r="B56" s="670">
        <f t="shared" si="2"/>
        <v>146</v>
      </c>
      <c r="C56" s="624"/>
      <c r="D56" s="1264">
        <f t="shared" si="3"/>
        <v>0</v>
      </c>
      <c r="E56" s="1269"/>
      <c r="F56" s="1266">
        <f t="shared" si="0"/>
        <v>0</v>
      </c>
      <c r="G56" s="1267"/>
      <c r="H56" s="1268"/>
      <c r="I56" s="230">
        <f t="shared" si="5"/>
        <v>1460</v>
      </c>
      <c r="J56" s="59">
        <f t="shared" si="6"/>
        <v>0</v>
      </c>
    </row>
    <row r="57" spans="1:10" ht="15.75" x14ac:dyDescent="0.25">
      <c r="A57" s="19"/>
      <c r="B57" s="670">
        <f t="shared" si="2"/>
        <v>146</v>
      </c>
      <c r="C57" s="624"/>
      <c r="D57" s="1264">
        <f t="shared" si="3"/>
        <v>0</v>
      </c>
      <c r="E57" s="1269"/>
      <c r="F57" s="1266">
        <f t="shared" si="0"/>
        <v>0</v>
      </c>
      <c r="G57" s="1267"/>
      <c r="H57" s="1268"/>
      <c r="I57" s="230">
        <f t="shared" si="5"/>
        <v>1460</v>
      </c>
      <c r="J57" s="59">
        <f t="shared" si="6"/>
        <v>0</v>
      </c>
    </row>
    <row r="58" spans="1:10" ht="15.75" x14ac:dyDescent="0.25">
      <c r="A58" s="19"/>
      <c r="B58" s="670">
        <f t="shared" si="2"/>
        <v>146</v>
      </c>
      <c r="C58" s="624"/>
      <c r="D58" s="1264">
        <f t="shared" si="3"/>
        <v>0</v>
      </c>
      <c r="E58" s="1269"/>
      <c r="F58" s="1266">
        <f t="shared" si="0"/>
        <v>0</v>
      </c>
      <c r="G58" s="1267"/>
      <c r="H58" s="1268"/>
      <c r="I58" s="230">
        <f t="shared" si="5"/>
        <v>1460</v>
      </c>
      <c r="J58" s="59">
        <f t="shared" si="6"/>
        <v>0</v>
      </c>
    </row>
    <row r="59" spans="1:10" ht="15.75" x14ac:dyDescent="0.25">
      <c r="A59" s="19"/>
      <c r="B59" s="670">
        <f t="shared" si="2"/>
        <v>146</v>
      </c>
      <c r="C59" s="624"/>
      <c r="D59" s="1264">
        <f t="shared" si="3"/>
        <v>0</v>
      </c>
      <c r="E59" s="1269"/>
      <c r="F59" s="1266">
        <f t="shared" si="0"/>
        <v>0</v>
      </c>
      <c r="G59" s="1267"/>
      <c r="H59" s="1268"/>
      <c r="I59" s="230">
        <f t="shared" si="5"/>
        <v>1460</v>
      </c>
      <c r="J59" s="59">
        <f t="shared" si="6"/>
        <v>0</v>
      </c>
    </row>
    <row r="60" spans="1:10" ht="15.75" x14ac:dyDescent="0.25">
      <c r="A60" s="19"/>
      <c r="B60" s="670">
        <f t="shared" si="2"/>
        <v>146</v>
      </c>
      <c r="C60" s="624"/>
      <c r="D60" s="1264">
        <f t="shared" si="3"/>
        <v>0</v>
      </c>
      <c r="E60" s="1269"/>
      <c r="F60" s="1266">
        <f t="shared" si="0"/>
        <v>0</v>
      </c>
      <c r="G60" s="1267"/>
      <c r="H60" s="1268"/>
      <c r="I60" s="230">
        <f t="shared" si="5"/>
        <v>1460</v>
      </c>
      <c r="J60" s="59">
        <f t="shared" si="6"/>
        <v>0</v>
      </c>
    </row>
    <row r="61" spans="1:10" ht="15.75" x14ac:dyDescent="0.25">
      <c r="A61" s="19"/>
      <c r="B61" s="670">
        <f t="shared" si="2"/>
        <v>146</v>
      </c>
      <c r="C61" s="624"/>
      <c r="D61" s="1264">
        <f t="shared" si="3"/>
        <v>0</v>
      </c>
      <c r="E61" s="1269"/>
      <c r="F61" s="1266">
        <f t="shared" si="0"/>
        <v>0</v>
      </c>
      <c r="G61" s="1267"/>
      <c r="H61" s="1268"/>
      <c r="I61" s="230">
        <f t="shared" si="5"/>
        <v>1460</v>
      </c>
      <c r="J61" s="59">
        <f t="shared" si="6"/>
        <v>0</v>
      </c>
    </row>
    <row r="62" spans="1:10" ht="15.75" x14ac:dyDescent="0.25">
      <c r="A62" s="19"/>
      <c r="B62" s="670">
        <f t="shared" si="2"/>
        <v>146</v>
      </c>
      <c r="C62" s="624"/>
      <c r="D62" s="1264">
        <f t="shared" si="3"/>
        <v>0</v>
      </c>
      <c r="E62" s="1269"/>
      <c r="F62" s="1266">
        <f t="shared" si="0"/>
        <v>0</v>
      </c>
      <c r="G62" s="1267"/>
      <c r="H62" s="1268"/>
      <c r="I62" s="230">
        <f t="shared" si="5"/>
        <v>1460</v>
      </c>
      <c r="J62" s="59">
        <f t="shared" si="6"/>
        <v>0</v>
      </c>
    </row>
    <row r="63" spans="1:10" ht="15.75" x14ac:dyDescent="0.25">
      <c r="A63" s="19"/>
      <c r="B63" s="670">
        <f t="shared" si="2"/>
        <v>146</v>
      </c>
      <c r="C63" s="624"/>
      <c r="D63" s="1264">
        <f t="shared" si="3"/>
        <v>0</v>
      </c>
      <c r="E63" s="1269"/>
      <c r="F63" s="1266">
        <f t="shared" si="0"/>
        <v>0</v>
      </c>
      <c r="G63" s="1267"/>
      <c r="H63" s="1268"/>
      <c r="I63" s="230">
        <f t="shared" si="5"/>
        <v>1460</v>
      </c>
      <c r="J63" s="59">
        <f t="shared" si="6"/>
        <v>0</v>
      </c>
    </row>
    <row r="64" spans="1:10" ht="15.75" x14ac:dyDescent="0.25">
      <c r="A64" s="19"/>
      <c r="B64" s="670">
        <f t="shared" si="2"/>
        <v>146</v>
      </c>
      <c r="C64" s="624"/>
      <c r="D64" s="1264">
        <f t="shared" si="3"/>
        <v>0</v>
      </c>
      <c r="E64" s="1269"/>
      <c r="F64" s="1266">
        <f t="shared" si="0"/>
        <v>0</v>
      </c>
      <c r="G64" s="1267"/>
      <c r="H64" s="1268"/>
      <c r="I64" s="230">
        <f t="shared" si="5"/>
        <v>1460</v>
      </c>
      <c r="J64" s="59">
        <f t="shared" si="6"/>
        <v>0</v>
      </c>
    </row>
    <row r="65" spans="1:10" ht="15.75" x14ac:dyDescent="0.25">
      <c r="A65" s="19"/>
      <c r="B65" s="670">
        <f t="shared" si="2"/>
        <v>146</v>
      </c>
      <c r="C65" s="624"/>
      <c r="D65" s="1264">
        <f t="shared" si="3"/>
        <v>0</v>
      </c>
      <c r="E65" s="1269"/>
      <c r="F65" s="1266">
        <f t="shared" si="0"/>
        <v>0</v>
      </c>
      <c r="G65" s="1267"/>
      <c r="H65" s="1268"/>
      <c r="I65" s="230">
        <f t="shared" si="5"/>
        <v>1460</v>
      </c>
      <c r="J65" s="59">
        <f t="shared" si="6"/>
        <v>0</v>
      </c>
    </row>
    <row r="66" spans="1:10" ht="15.75" x14ac:dyDescent="0.25">
      <c r="A66" s="19"/>
      <c r="B66" s="670">
        <f t="shared" si="2"/>
        <v>146</v>
      </c>
      <c r="C66" s="624"/>
      <c r="D66" s="1264">
        <f t="shared" si="3"/>
        <v>0</v>
      </c>
      <c r="E66" s="1269"/>
      <c r="F66" s="1266">
        <f t="shared" si="0"/>
        <v>0</v>
      </c>
      <c r="G66" s="1267"/>
      <c r="H66" s="1268"/>
      <c r="I66" s="230">
        <f t="shared" si="5"/>
        <v>1460</v>
      </c>
      <c r="J66" s="59">
        <f t="shared" si="6"/>
        <v>0</v>
      </c>
    </row>
    <row r="67" spans="1:10" ht="15.75" x14ac:dyDescent="0.25">
      <c r="A67" s="19"/>
      <c r="B67" s="670">
        <f t="shared" si="2"/>
        <v>146</v>
      </c>
      <c r="C67" s="624"/>
      <c r="D67" s="1264">
        <f t="shared" si="3"/>
        <v>0</v>
      </c>
      <c r="E67" s="1269"/>
      <c r="F67" s="1266">
        <f t="shared" si="0"/>
        <v>0</v>
      </c>
      <c r="G67" s="1267"/>
      <c r="H67" s="1268"/>
      <c r="I67" s="230">
        <f t="shared" si="5"/>
        <v>1460</v>
      </c>
      <c r="J67" s="59">
        <f t="shared" si="6"/>
        <v>0</v>
      </c>
    </row>
    <row r="68" spans="1:10" ht="15.75" x14ac:dyDescent="0.25">
      <c r="B68" s="670">
        <f t="shared" si="2"/>
        <v>146</v>
      </c>
      <c r="C68" s="624"/>
      <c r="D68" s="1264">
        <f t="shared" si="3"/>
        <v>0</v>
      </c>
      <c r="E68" s="1269"/>
      <c r="F68" s="1266">
        <f t="shared" si="0"/>
        <v>0</v>
      </c>
      <c r="G68" s="1267"/>
      <c r="H68" s="1268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146</v>
      </c>
      <c r="C69" s="37"/>
      <c r="D69" s="565">
        <f t="shared" si="3"/>
        <v>0</v>
      </c>
      <c r="E69" s="233"/>
      <c r="F69" s="489">
        <f t="shared" si="0"/>
        <v>0</v>
      </c>
      <c r="G69" s="135"/>
      <c r="H69" s="189"/>
      <c r="I69" s="831"/>
      <c r="J69" s="59">
        <f>SUM(J9:J68)</f>
        <v>151275</v>
      </c>
    </row>
    <row r="70" spans="1:10" ht="15.75" thickTop="1" x14ac:dyDescent="0.25">
      <c r="A70" s="47">
        <f>SUM(A69:A69)</f>
        <v>0</v>
      </c>
      <c r="C70" s="72"/>
      <c r="D70" s="102">
        <f>SUM(D9:D69)</f>
        <v>3340</v>
      </c>
      <c r="E70" s="130"/>
      <c r="F70" s="102">
        <f>SUM(F9:F69)</f>
        <v>3340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655" t="s">
        <v>21</v>
      </c>
      <c r="E72" s="1656"/>
      <c r="F72" s="137">
        <f>G5-F70</f>
        <v>0</v>
      </c>
    </row>
    <row r="73" spans="1:10" ht="15.75" thickBot="1" x14ac:dyDescent="0.3">
      <c r="A73" s="121"/>
      <c r="D73" s="964" t="s">
        <v>4</v>
      </c>
      <c r="E73" s="965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59" t="s">
        <v>95</v>
      </c>
      <c r="B1" s="1659"/>
      <c r="C1" s="1659"/>
      <c r="D1" s="1659"/>
      <c r="E1" s="1659"/>
      <c r="F1" s="1659"/>
      <c r="G1" s="1659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502"/>
      <c r="C4" s="230"/>
      <c r="D4" s="130"/>
      <c r="E4" s="357"/>
      <c r="F4" s="72"/>
      <c r="G4" s="224"/>
      <c r="H4" s="144"/>
      <c r="I4" s="369"/>
    </row>
    <row r="5" spans="1:10" ht="14.25" customHeight="1" x14ac:dyDescent="0.25">
      <c r="A5" s="1667"/>
      <c r="B5" s="1693"/>
      <c r="C5" s="362"/>
      <c r="D5" s="130"/>
      <c r="E5" s="85"/>
      <c r="F5" s="72"/>
      <c r="G5" s="48">
        <f>F30</f>
        <v>0</v>
      </c>
      <c r="H5" s="134">
        <f>E5-G5+E4+E6+E7</f>
        <v>0</v>
      </c>
      <c r="I5" s="366"/>
    </row>
    <row r="6" spans="1:10" x14ac:dyDescent="0.25">
      <c r="A6" s="1667"/>
      <c r="B6" s="1693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6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6"/>
      <c r="F25" s="91">
        <f t="shared" si="0"/>
        <v>0</v>
      </c>
      <c r="G25" s="494"/>
      <c r="H25" s="495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6"/>
      <c r="F26" s="91">
        <f t="shared" si="0"/>
        <v>0</v>
      </c>
      <c r="G26" s="494"/>
      <c r="H26" s="495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6"/>
      <c r="F27" s="91">
        <f t="shared" si="0"/>
        <v>0</v>
      </c>
      <c r="G27" s="494"/>
      <c r="H27" s="495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655" t="s">
        <v>21</v>
      </c>
      <c r="E32" s="1656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50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82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2">
        <f>B9-C10</f>
        <v>0</v>
      </c>
      <c r="C10" s="72"/>
      <c r="D10" s="68"/>
      <c r="E10" s="640"/>
      <c r="F10" s="596">
        <f t="shared" si="0"/>
        <v>0</v>
      </c>
      <c r="G10" s="563"/>
      <c r="H10" s="564"/>
      <c r="I10" s="754">
        <f>I9-F10</f>
        <v>0</v>
      </c>
    </row>
    <row r="11" spans="1:9" x14ac:dyDescent="0.25">
      <c r="B11" s="382">
        <f>B10-C11</f>
        <v>0</v>
      </c>
      <c r="C11" s="72"/>
      <c r="D11" s="68"/>
      <c r="E11" s="640"/>
      <c r="F11" s="596">
        <f t="shared" si="0"/>
        <v>0</v>
      </c>
      <c r="G11" s="563"/>
      <c r="H11" s="564"/>
      <c r="I11" s="754">
        <f t="shared" ref="I11:I26" si="1">I10-F11</f>
        <v>0</v>
      </c>
    </row>
    <row r="12" spans="1:9" x14ac:dyDescent="0.25">
      <c r="A12" s="54" t="s">
        <v>33</v>
      </c>
      <c r="B12" s="382">
        <f t="shared" ref="B12:B14" si="2">B11-C12</f>
        <v>0</v>
      </c>
      <c r="C12" s="72"/>
      <c r="D12" s="68"/>
      <c r="E12" s="640"/>
      <c r="F12" s="596">
        <f t="shared" si="0"/>
        <v>0</v>
      </c>
      <c r="G12" s="563"/>
      <c r="H12" s="564"/>
      <c r="I12" s="754">
        <f t="shared" si="1"/>
        <v>0</v>
      </c>
    </row>
    <row r="13" spans="1:9" x14ac:dyDescent="0.25">
      <c r="B13" s="382">
        <f t="shared" si="2"/>
        <v>0</v>
      </c>
      <c r="C13" s="72"/>
      <c r="D13" s="68"/>
      <c r="E13" s="640"/>
      <c r="F13" s="596">
        <f t="shared" si="0"/>
        <v>0</v>
      </c>
      <c r="G13" s="563"/>
      <c r="H13" s="564"/>
      <c r="I13" s="754">
        <f t="shared" si="1"/>
        <v>0</v>
      </c>
    </row>
    <row r="14" spans="1:9" x14ac:dyDescent="0.25">
      <c r="A14" s="19"/>
      <c r="B14" s="382">
        <f t="shared" si="2"/>
        <v>0</v>
      </c>
      <c r="C14" s="72"/>
      <c r="D14" s="68"/>
      <c r="E14" s="640"/>
      <c r="F14" s="596">
        <f t="shared" si="0"/>
        <v>0</v>
      </c>
      <c r="G14" s="563"/>
      <c r="H14" s="564"/>
      <c r="I14" s="754">
        <f t="shared" si="1"/>
        <v>0</v>
      </c>
    </row>
    <row r="15" spans="1:9" x14ac:dyDescent="0.25">
      <c r="B15" s="382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2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2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2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2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2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2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2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2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2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2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2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55" t="s">
        <v>21</v>
      </c>
      <c r="E29" s="1656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U80"/>
  <sheetViews>
    <sheetView topLeftCell="K1" workbookViewId="0">
      <pane ySplit="8" topLeftCell="A9" activePane="bottomLeft" state="frozen"/>
      <selection pane="bottomLeft" activeCell="R12" sqref="R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1425" bestFit="1" customWidth="1"/>
    <col min="14" max="14" width="15.5703125" bestFit="1" customWidth="1"/>
    <col min="17" max="17" width="12" customWidth="1"/>
    <col min="18" max="18" width="12.42578125" bestFit="1" customWidth="1"/>
    <col min="20" max="20" width="13.85546875" bestFit="1" customWidth="1"/>
    <col min="21" max="21" width="15.42578125" customWidth="1"/>
  </cols>
  <sheetData>
    <row r="1" spans="1:21" ht="36.75" customHeight="1" x14ac:dyDescent="0.5">
      <c r="A1" s="1694" t="s">
        <v>314</v>
      </c>
      <c r="B1" s="1694"/>
      <c r="C1" s="1694"/>
      <c r="D1" s="1694"/>
      <c r="E1" s="1694"/>
      <c r="F1" s="1694"/>
      <c r="G1" s="1694"/>
      <c r="H1" s="254">
        <v>1</v>
      </c>
      <c r="I1" s="364"/>
      <c r="L1" s="1659" t="s">
        <v>346</v>
      </c>
      <c r="M1" s="1659"/>
      <c r="N1" s="1659"/>
      <c r="O1" s="1659"/>
      <c r="P1" s="1659"/>
      <c r="Q1" s="1659"/>
      <c r="R1" s="1659"/>
      <c r="S1" s="254">
        <v>2</v>
      </c>
      <c r="T1" s="364"/>
    </row>
    <row r="2" spans="1:2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  <c r="L2" s="74"/>
      <c r="M2" s="74"/>
      <c r="N2" s="74"/>
      <c r="O2" s="74"/>
      <c r="P2" s="74"/>
      <c r="Q2" s="74"/>
      <c r="R2" s="74"/>
      <c r="S2" s="74"/>
      <c r="T2" s="363"/>
    </row>
    <row r="3" spans="1:21" ht="16.5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  <c r="L3" s="71"/>
      <c r="M3" s="456" t="s">
        <v>1</v>
      </c>
      <c r="N3" s="71"/>
      <c r="O3" s="71"/>
      <c r="P3" s="71"/>
      <c r="Q3" s="71"/>
      <c r="R3" s="264" t="s">
        <v>20</v>
      </c>
      <c r="S3" s="263" t="s">
        <v>6</v>
      </c>
      <c r="T3" s="365"/>
    </row>
    <row r="4" spans="1:21" ht="15.75" customHeight="1" thickTop="1" x14ac:dyDescent="0.25">
      <c r="A4" s="74"/>
      <c r="B4" s="502"/>
      <c r="C4" s="230"/>
      <c r="D4" s="130"/>
      <c r="E4" s="357">
        <v>20</v>
      </c>
      <c r="F4" s="72">
        <v>2</v>
      </c>
      <c r="G4" s="982"/>
      <c r="H4" s="144"/>
      <c r="I4" s="369"/>
      <c r="L4" s="74"/>
      <c r="M4" s="502"/>
      <c r="N4" s="230"/>
      <c r="O4" s="130"/>
      <c r="P4" s="357"/>
      <c r="Q4" s="1425"/>
      <c r="R4" s="1426"/>
      <c r="S4" s="144"/>
      <c r="T4" s="369"/>
    </row>
    <row r="5" spans="1:21" ht="14.25" customHeight="1" x14ac:dyDescent="0.25">
      <c r="A5" s="1667" t="s">
        <v>97</v>
      </c>
      <c r="B5" s="1693" t="s">
        <v>144</v>
      </c>
      <c r="C5" s="362">
        <v>380</v>
      </c>
      <c r="D5" s="130">
        <v>45044</v>
      </c>
      <c r="E5" s="85">
        <v>4800</v>
      </c>
      <c r="F5" s="72">
        <v>480</v>
      </c>
      <c r="G5" s="48">
        <f>F76</f>
        <v>4820</v>
      </c>
      <c r="H5" s="134">
        <f>E5-G5+E4+E6+E7</f>
        <v>0</v>
      </c>
      <c r="I5" s="366"/>
      <c r="L5" s="1667" t="s">
        <v>97</v>
      </c>
      <c r="M5" s="1693" t="s">
        <v>144</v>
      </c>
      <c r="N5" s="362">
        <v>350</v>
      </c>
      <c r="O5" s="130">
        <v>45131</v>
      </c>
      <c r="P5" s="85">
        <v>14400</v>
      </c>
      <c r="Q5" s="1425">
        <v>1440</v>
      </c>
      <c r="R5" s="48">
        <f>Q76</f>
        <v>650</v>
      </c>
      <c r="S5" s="134">
        <f>P5-R5+P4+P6+P7</f>
        <v>13750</v>
      </c>
      <c r="T5" s="366"/>
    </row>
    <row r="6" spans="1:21" x14ac:dyDescent="0.25">
      <c r="A6" s="1667"/>
      <c r="B6" s="1693"/>
      <c r="C6" s="363"/>
      <c r="D6" s="130"/>
      <c r="E6" s="74"/>
      <c r="F6" s="72"/>
      <c r="G6" s="72"/>
      <c r="H6" s="74"/>
      <c r="I6" s="230"/>
      <c r="L6" s="1667"/>
      <c r="M6" s="1693"/>
      <c r="N6" s="363"/>
      <c r="O6" s="130"/>
      <c r="P6" s="74"/>
      <c r="Q6" s="1425"/>
      <c r="R6" s="1425"/>
      <c r="S6" s="74"/>
      <c r="T6" s="230"/>
    </row>
    <row r="7" spans="1:21" ht="15.75" thickBot="1" x14ac:dyDescent="0.3">
      <c r="A7" s="213"/>
      <c r="B7" s="1693"/>
      <c r="C7" s="363"/>
      <c r="D7" s="130"/>
      <c r="E7" s="74"/>
      <c r="F7" s="72"/>
      <c r="G7" s="72"/>
      <c r="H7" s="74"/>
      <c r="I7" s="230"/>
      <c r="L7" s="213"/>
      <c r="M7" s="1693"/>
      <c r="N7" s="363"/>
      <c r="O7" s="130"/>
      <c r="P7" s="74"/>
      <c r="Q7" s="1425"/>
      <c r="R7" s="1425"/>
      <c r="S7" s="74"/>
      <c r="T7" s="230"/>
    </row>
    <row r="8" spans="1:21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85" t="s">
        <v>57</v>
      </c>
      <c r="I8" s="986" t="s">
        <v>3</v>
      </c>
      <c r="J8" s="984"/>
      <c r="L8" s="74"/>
      <c r="M8" s="271" t="s">
        <v>7</v>
      </c>
      <c r="N8" s="267" t="s">
        <v>8</v>
      </c>
      <c r="O8" s="268" t="s">
        <v>17</v>
      </c>
      <c r="P8" s="269" t="s">
        <v>2</v>
      </c>
      <c r="Q8" s="262" t="s">
        <v>18</v>
      </c>
      <c r="R8" s="71" t="s">
        <v>55</v>
      </c>
      <c r="S8" s="985" t="s">
        <v>57</v>
      </c>
      <c r="T8" s="986" t="s">
        <v>3</v>
      </c>
      <c r="U8" s="984"/>
    </row>
    <row r="9" spans="1:21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2">
        <v>45048</v>
      </c>
      <c r="F9" s="91">
        <f>D9</f>
        <v>50</v>
      </c>
      <c r="G9" s="69" t="s">
        <v>142</v>
      </c>
      <c r="H9" s="70">
        <v>48</v>
      </c>
      <c r="I9" s="230">
        <f>E4+E5+E6-F9+E7</f>
        <v>4770</v>
      </c>
      <c r="J9" s="59">
        <f>H9*F9</f>
        <v>2400</v>
      </c>
      <c r="L9" s="753"/>
      <c r="M9" s="670">
        <f>Q4+Q5+Q6-N9+Q7</f>
        <v>1430</v>
      </c>
      <c r="N9" s="624">
        <v>10</v>
      </c>
      <c r="O9" s="562">
        <f t="shared" ref="O9:O15" si="1">10*N9</f>
        <v>100</v>
      </c>
      <c r="P9" s="1430">
        <v>45132</v>
      </c>
      <c r="Q9" s="562">
        <f>O9</f>
        <v>100</v>
      </c>
      <c r="R9" s="563" t="s">
        <v>684</v>
      </c>
      <c r="S9" s="564">
        <v>48</v>
      </c>
      <c r="T9" s="230">
        <f>P4+P5+P6-Q9+P7</f>
        <v>14300</v>
      </c>
      <c r="U9" s="59">
        <f>S9*Q9</f>
        <v>4800</v>
      </c>
    </row>
    <row r="10" spans="1:21" x14ac:dyDescent="0.25">
      <c r="A10" s="74"/>
      <c r="B10" s="174">
        <f>B9-C10</f>
        <v>377</v>
      </c>
      <c r="C10" s="992">
        <v>100</v>
      </c>
      <c r="D10" s="979">
        <f t="shared" si="0"/>
        <v>1000</v>
      </c>
      <c r="E10" s="334">
        <v>45054</v>
      </c>
      <c r="F10" s="91">
        <f t="shared" ref="F10:F75" si="2">D10</f>
        <v>1000</v>
      </c>
      <c r="G10" s="69" t="s">
        <v>151</v>
      </c>
      <c r="H10" s="70">
        <v>41.5</v>
      </c>
      <c r="I10" s="230">
        <f>I9-F10</f>
        <v>3770</v>
      </c>
      <c r="J10" s="59">
        <f t="shared" ref="J10:J49" si="3">H10*F10</f>
        <v>41500</v>
      </c>
      <c r="L10" s="581"/>
      <c r="M10" s="670">
        <f>M9-N10</f>
        <v>1380</v>
      </c>
      <c r="N10" s="624">
        <v>50</v>
      </c>
      <c r="O10" s="562">
        <f t="shared" si="1"/>
        <v>500</v>
      </c>
      <c r="P10" s="691">
        <v>45132</v>
      </c>
      <c r="Q10" s="562">
        <f t="shared" ref="Q10:Q68" si="4">O10</f>
        <v>500</v>
      </c>
      <c r="R10" s="563" t="s">
        <v>686</v>
      </c>
      <c r="S10" s="564">
        <v>41.5</v>
      </c>
      <c r="T10" s="230">
        <f>T9-Q10</f>
        <v>13800</v>
      </c>
      <c r="U10" s="59">
        <f t="shared" ref="U10:U70" si="5">S10*Q10</f>
        <v>20750</v>
      </c>
    </row>
    <row r="11" spans="1:21" x14ac:dyDescent="0.25">
      <c r="A11" s="74"/>
      <c r="B11" s="628">
        <f t="shared" ref="B11:B67" si="6">B10-C11</f>
        <v>367</v>
      </c>
      <c r="C11" s="15">
        <v>10</v>
      </c>
      <c r="D11" s="91">
        <f t="shared" si="0"/>
        <v>100</v>
      </c>
      <c r="E11" s="334">
        <v>45055</v>
      </c>
      <c r="F11" s="91">
        <f t="shared" si="2"/>
        <v>100</v>
      </c>
      <c r="G11" s="69" t="s">
        <v>152</v>
      </c>
      <c r="H11" s="70">
        <v>48</v>
      </c>
      <c r="I11" s="929">
        <f t="shared" ref="I11:I49" si="7">I10-F11</f>
        <v>3670</v>
      </c>
      <c r="J11" s="59">
        <f t="shared" si="3"/>
        <v>4800</v>
      </c>
      <c r="L11" s="581"/>
      <c r="M11" s="670">
        <f t="shared" ref="M11:M67" si="8">M10-N11</f>
        <v>1375</v>
      </c>
      <c r="N11" s="624">
        <v>5</v>
      </c>
      <c r="O11" s="562">
        <f t="shared" si="1"/>
        <v>50</v>
      </c>
      <c r="P11" s="691">
        <v>45134</v>
      </c>
      <c r="Q11" s="562">
        <f t="shared" si="4"/>
        <v>50</v>
      </c>
      <c r="R11" s="563" t="s">
        <v>713</v>
      </c>
      <c r="S11" s="564">
        <v>48</v>
      </c>
      <c r="T11" s="230">
        <f t="shared" ref="T11:T70" si="9">T10-Q11</f>
        <v>13750</v>
      </c>
      <c r="U11" s="59">
        <f t="shared" si="5"/>
        <v>2400</v>
      </c>
    </row>
    <row r="12" spans="1:21" x14ac:dyDescent="0.25">
      <c r="A12" s="60"/>
      <c r="B12" s="174">
        <f t="shared" si="6"/>
        <v>367</v>
      </c>
      <c r="C12" s="15"/>
      <c r="D12" s="91">
        <f t="shared" si="0"/>
        <v>0</v>
      </c>
      <c r="E12" s="334"/>
      <c r="F12" s="91">
        <f t="shared" si="2"/>
        <v>0</v>
      </c>
      <c r="G12" s="69"/>
      <c r="H12" s="70"/>
      <c r="I12" s="230">
        <f t="shared" si="7"/>
        <v>3670</v>
      </c>
      <c r="J12" s="59">
        <f t="shared" si="3"/>
        <v>0</v>
      </c>
      <c r="L12" s="753"/>
      <c r="M12" s="670">
        <f t="shared" si="8"/>
        <v>1375</v>
      </c>
      <c r="N12" s="624"/>
      <c r="O12" s="562">
        <f t="shared" si="1"/>
        <v>0</v>
      </c>
      <c r="P12" s="691"/>
      <c r="Q12" s="562">
        <f t="shared" si="4"/>
        <v>0</v>
      </c>
      <c r="R12" s="563"/>
      <c r="S12" s="564"/>
      <c r="T12" s="230">
        <f t="shared" si="9"/>
        <v>13750</v>
      </c>
      <c r="U12" s="59">
        <f t="shared" si="5"/>
        <v>0</v>
      </c>
    </row>
    <row r="13" spans="1:21" x14ac:dyDescent="0.25">
      <c r="A13" s="74"/>
      <c r="B13" s="174">
        <f t="shared" si="6"/>
        <v>364</v>
      </c>
      <c r="C13" s="15">
        <v>3</v>
      </c>
      <c r="D13" s="1055">
        <f t="shared" si="0"/>
        <v>30</v>
      </c>
      <c r="E13" s="1056">
        <v>45058</v>
      </c>
      <c r="F13" s="1055">
        <f t="shared" si="2"/>
        <v>30</v>
      </c>
      <c r="G13" s="314" t="s">
        <v>160</v>
      </c>
      <c r="H13" s="315">
        <v>48</v>
      </c>
      <c r="I13" s="230">
        <f t="shared" si="7"/>
        <v>3640</v>
      </c>
      <c r="J13" s="59">
        <f t="shared" si="3"/>
        <v>1440</v>
      </c>
      <c r="L13" s="581"/>
      <c r="M13" s="670">
        <f t="shared" si="8"/>
        <v>1375</v>
      </c>
      <c r="N13" s="624"/>
      <c r="O13" s="562">
        <f t="shared" si="1"/>
        <v>0</v>
      </c>
      <c r="P13" s="691"/>
      <c r="Q13" s="562">
        <f t="shared" si="4"/>
        <v>0</v>
      </c>
      <c r="R13" s="563"/>
      <c r="S13" s="710"/>
      <c r="T13" s="230">
        <f t="shared" si="9"/>
        <v>13750</v>
      </c>
      <c r="U13" s="59">
        <f t="shared" si="5"/>
        <v>0</v>
      </c>
    </row>
    <row r="14" spans="1:21" x14ac:dyDescent="0.25">
      <c r="A14" s="74"/>
      <c r="B14" s="174">
        <f t="shared" si="6"/>
        <v>354</v>
      </c>
      <c r="C14" s="15">
        <v>10</v>
      </c>
      <c r="D14" s="1055">
        <f t="shared" si="0"/>
        <v>100</v>
      </c>
      <c r="E14" s="1056">
        <v>45059</v>
      </c>
      <c r="F14" s="1055">
        <f t="shared" si="2"/>
        <v>100</v>
      </c>
      <c r="G14" s="314" t="s">
        <v>161</v>
      </c>
      <c r="H14" s="315">
        <v>48</v>
      </c>
      <c r="I14" s="230">
        <f t="shared" si="7"/>
        <v>3540</v>
      </c>
      <c r="J14" s="59">
        <f t="shared" si="3"/>
        <v>4800</v>
      </c>
      <c r="L14" s="581"/>
      <c r="M14" s="670">
        <f t="shared" si="8"/>
        <v>1375</v>
      </c>
      <c r="N14" s="624"/>
      <c r="O14" s="562">
        <f t="shared" si="1"/>
        <v>0</v>
      </c>
      <c r="P14" s="691"/>
      <c r="Q14" s="562">
        <f t="shared" si="4"/>
        <v>0</v>
      </c>
      <c r="R14" s="563"/>
      <c r="S14" s="710"/>
      <c r="T14" s="230">
        <f t="shared" si="9"/>
        <v>13750</v>
      </c>
      <c r="U14" s="59">
        <f t="shared" si="5"/>
        <v>0</v>
      </c>
    </row>
    <row r="15" spans="1:21" x14ac:dyDescent="0.25">
      <c r="A15" s="74"/>
      <c r="B15" s="174">
        <f t="shared" si="6"/>
        <v>352</v>
      </c>
      <c r="C15" s="15">
        <v>2</v>
      </c>
      <c r="D15" s="1055">
        <f t="shared" si="0"/>
        <v>20</v>
      </c>
      <c r="E15" s="1056">
        <v>45059</v>
      </c>
      <c r="F15" s="1055">
        <f t="shared" si="2"/>
        <v>20</v>
      </c>
      <c r="G15" s="314" t="s">
        <v>162</v>
      </c>
      <c r="H15" s="315">
        <v>48</v>
      </c>
      <c r="I15" s="230">
        <f t="shared" si="7"/>
        <v>3520</v>
      </c>
      <c r="J15" s="59">
        <f t="shared" si="3"/>
        <v>960</v>
      </c>
      <c r="L15" s="581"/>
      <c r="M15" s="670">
        <f t="shared" si="8"/>
        <v>1375</v>
      </c>
      <c r="N15" s="624"/>
      <c r="O15" s="562">
        <f t="shared" si="1"/>
        <v>0</v>
      </c>
      <c r="P15" s="691"/>
      <c r="Q15" s="562">
        <f t="shared" si="4"/>
        <v>0</v>
      </c>
      <c r="R15" s="563"/>
      <c r="S15" s="710"/>
      <c r="T15" s="230">
        <f t="shared" si="9"/>
        <v>13750</v>
      </c>
      <c r="U15" s="59">
        <f t="shared" si="5"/>
        <v>0</v>
      </c>
    </row>
    <row r="16" spans="1:21" x14ac:dyDescent="0.25">
      <c r="A16" s="74"/>
      <c r="B16" s="174">
        <f t="shared" si="6"/>
        <v>347</v>
      </c>
      <c r="C16" s="15">
        <v>5</v>
      </c>
      <c r="D16" s="1055">
        <f>10*C16</f>
        <v>50</v>
      </c>
      <c r="E16" s="1056">
        <v>45059</v>
      </c>
      <c r="F16" s="1055">
        <f t="shared" si="2"/>
        <v>50</v>
      </c>
      <c r="G16" s="314" t="s">
        <v>163</v>
      </c>
      <c r="H16" s="315">
        <v>48</v>
      </c>
      <c r="I16" s="230">
        <f t="shared" si="7"/>
        <v>3470</v>
      </c>
      <c r="J16" s="59">
        <f t="shared" si="3"/>
        <v>2400</v>
      </c>
      <c r="L16" s="581"/>
      <c r="M16" s="670">
        <f t="shared" si="8"/>
        <v>1375</v>
      </c>
      <c r="N16" s="624"/>
      <c r="O16" s="562">
        <f>10*N16</f>
        <v>0</v>
      </c>
      <c r="P16" s="691"/>
      <c r="Q16" s="562">
        <f t="shared" si="4"/>
        <v>0</v>
      </c>
      <c r="R16" s="563"/>
      <c r="S16" s="710"/>
      <c r="T16" s="230">
        <f t="shared" si="9"/>
        <v>13750</v>
      </c>
      <c r="U16" s="59">
        <f t="shared" si="5"/>
        <v>0</v>
      </c>
    </row>
    <row r="17" spans="1:21" x14ac:dyDescent="0.25">
      <c r="A17" s="74"/>
      <c r="B17" s="174">
        <f t="shared" si="6"/>
        <v>337</v>
      </c>
      <c r="C17" s="15">
        <v>10</v>
      </c>
      <c r="D17" s="1055">
        <f t="shared" ref="D17:D68" si="10">10*C17</f>
        <v>100</v>
      </c>
      <c r="E17" s="1056">
        <v>45061</v>
      </c>
      <c r="F17" s="1055">
        <f t="shared" si="2"/>
        <v>100</v>
      </c>
      <c r="G17" s="314" t="s">
        <v>164</v>
      </c>
      <c r="H17" s="315">
        <v>48</v>
      </c>
      <c r="I17" s="230">
        <f t="shared" si="7"/>
        <v>3370</v>
      </c>
      <c r="J17" s="59">
        <f t="shared" si="3"/>
        <v>4800</v>
      </c>
      <c r="L17" s="581"/>
      <c r="M17" s="670">
        <f t="shared" si="8"/>
        <v>1375</v>
      </c>
      <c r="N17" s="624"/>
      <c r="O17" s="562">
        <f t="shared" ref="O17:O68" si="11">10*N17</f>
        <v>0</v>
      </c>
      <c r="P17" s="691"/>
      <c r="Q17" s="562">
        <f t="shared" si="4"/>
        <v>0</v>
      </c>
      <c r="R17" s="563"/>
      <c r="S17" s="710"/>
      <c r="T17" s="230">
        <f t="shared" si="9"/>
        <v>13750</v>
      </c>
      <c r="U17" s="59">
        <f t="shared" si="5"/>
        <v>0</v>
      </c>
    </row>
    <row r="18" spans="1:21" x14ac:dyDescent="0.25">
      <c r="A18" s="74"/>
      <c r="B18" s="174">
        <f t="shared" si="6"/>
        <v>287</v>
      </c>
      <c r="C18" s="15">
        <v>50</v>
      </c>
      <c r="D18" s="1055">
        <f t="shared" si="10"/>
        <v>500</v>
      </c>
      <c r="E18" s="1056">
        <v>45065</v>
      </c>
      <c r="F18" s="1055">
        <f t="shared" si="2"/>
        <v>500</v>
      </c>
      <c r="G18" s="314" t="s">
        <v>168</v>
      </c>
      <c r="H18" s="315">
        <v>48</v>
      </c>
      <c r="I18" s="230">
        <f t="shared" si="7"/>
        <v>2870</v>
      </c>
      <c r="J18" s="59">
        <f t="shared" si="3"/>
        <v>24000</v>
      </c>
      <c r="L18" s="581"/>
      <c r="M18" s="670">
        <f t="shared" si="8"/>
        <v>1375</v>
      </c>
      <c r="N18" s="624"/>
      <c r="O18" s="562">
        <f t="shared" si="11"/>
        <v>0</v>
      </c>
      <c r="P18" s="691"/>
      <c r="Q18" s="562">
        <f t="shared" si="4"/>
        <v>0</v>
      </c>
      <c r="R18" s="563"/>
      <c r="S18" s="710"/>
      <c r="T18" s="230">
        <f t="shared" si="9"/>
        <v>13750</v>
      </c>
      <c r="U18" s="59">
        <f t="shared" si="5"/>
        <v>0</v>
      </c>
    </row>
    <row r="19" spans="1:21" x14ac:dyDescent="0.25">
      <c r="A19" s="74"/>
      <c r="B19" s="670">
        <f t="shared" si="6"/>
        <v>277</v>
      </c>
      <c r="C19" s="624">
        <v>10</v>
      </c>
      <c r="D19" s="707">
        <f t="shared" si="10"/>
        <v>100</v>
      </c>
      <c r="E19" s="1057">
        <v>45066</v>
      </c>
      <c r="F19" s="707">
        <f t="shared" si="2"/>
        <v>100</v>
      </c>
      <c r="G19" s="709" t="s">
        <v>169</v>
      </c>
      <c r="H19" s="710">
        <v>48</v>
      </c>
      <c r="I19" s="230">
        <f t="shared" si="7"/>
        <v>2770</v>
      </c>
      <c r="J19" s="59">
        <f t="shared" si="3"/>
        <v>4800</v>
      </c>
      <c r="L19" s="581"/>
      <c r="M19" s="670">
        <f t="shared" si="8"/>
        <v>1375</v>
      </c>
      <c r="N19" s="624"/>
      <c r="O19" s="562">
        <f t="shared" si="11"/>
        <v>0</v>
      </c>
      <c r="P19" s="691"/>
      <c r="Q19" s="562">
        <f t="shared" si="4"/>
        <v>0</v>
      </c>
      <c r="R19" s="563"/>
      <c r="S19" s="710"/>
      <c r="T19" s="230">
        <f t="shared" si="9"/>
        <v>13750</v>
      </c>
      <c r="U19" s="59">
        <f t="shared" si="5"/>
        <v>0</v>
      </c>
    </row>
    <row r="20" spans="1:21" x14ac:dyDescent="0.25">
      <c r="A20" s="74"/>
      <c r="B20" s="670">
        <f t="shared" si="6"/>
        <v>274</v>
      </c>
      <c r="C20" s="624">
        <v>3</v>
      </c>
      <c r="D20" s="707">
        <f t="shared" si="10"/>
        <v>30</v>
      </c>
      <c r="E20" s="1057">
        <v>45066</v>
      </c>
      <c r="F20" s="707">
        <f t="shared" si="2"/>
        <v>30</v>
      </c>
      <c r="G20" s="709" t="s">
        <v>170</v>
      </c>
      <c r="H20" s="710">
        <v>48</v>
      </c>
      <c r="I20" s="230">
        <f t="shared" si="7"/>
        <v>2740</v>
      </c>
      <c r="J20" s="59">
        <f t="shared" si="3"/>
        <v>1440</v>
      </c>
      <c r="L20" s="581"/>
      <c r="M20" s="670">
        <f t="shared" si="8"/>
        <v>1375</v>
      </c>
      <c r="N20" s="624"/>
      <c r="O20" s="562">
        <f t="shared" si="11"/>
        <v>0</v>
      </c>
      <c r="P20" s="691"/>
      <c r="Q20" s="562">
        <f t="shared" si="4"/>
        <v>0</v>
      </c>
      <c r="R20" s="563"/>
      <c r="S20" s="710"/>
      <c r="T20" s="230">
        <f t="shared" si="9"/>
        <v>13750</v>
      </c>
      <c r="U20" s="59">
        <f t="shared" si="5"/>
        <v>0</v>
      </c>
    </row>
    <row r="21" spans="1:21" x14ac:dyDescent="0.25">
      <c r="A21" s="74"/>
      <c r="B21" s="670">
        <f t="shared" si="6"/>
        <v>264</v>
      </c>
      <c r="C21" s="624">
        <v>10</v>
      </c>
      <c r="D21" s="707">
        <f t="shared" si="10"/>
        <v>100</v>
      </c>
      <c r="E21" s="1057">
        <v>45066</v>
      </c>
      <c r="F21" s="707">
        <f t="shared" si="2"/>
        <v>100</v>
      </c>
      <c r="G21" s="709" t="s">
        <v>172</v>
      </c>
      <c r="H21" s="710">
        <v>48</v>
      </c>
      <c r="I21" s="230">
        <f t="shared" si="7"/>
        <v>2640</v>
      </c>
      <c r="J21" s="59">
        <f t="shared" si="3"/>
        <v>4800</v>
      </c>
      <c r="L21" s="581"/>
      <c r="M21" s="670">
        <f t="shared" si="8"/>
        <v>1375</v>
      </c>
      <c r="N21" s="624"/>
      <c r="O21" s="562">
        <f t="shared" si="11"/>
        <v>0</v>
      </c>
      <c r="P21" s="691"/>
      <c r="Q21" s="562">
        <f t="shared" si="4"/>
        <v>0</v>
      </c>
      <c r="R21" s="563"/>
      <c r="S21" s="710"/>
      <c r="T21" s="230">
        <f t="shared" si="9"/>
        <v>13750</v>
      </c>
      <c r="U21" s="59">
        <f t="shared" si="5"/>
        <v>0</v>
      </c>
    </row>
    <row r="22" spans="1:21" x14ac:dyDescent="0.25">
      <c r="A22" s="74"/>
      <c r="B22" s="670">
        <f t="shared" si="6"/>
        <v>263</v>
      </c>
      <c r="C22" s="624">
        <v>1</v>
      </c>
      <c r="D22" s="707">
        <f t="shared" si="10"/>
        <v>10</v>
      </c>
      <c r="E22" s="1057">
        <v>45068</v>
      </c>
      <c r="F22" s="707">
        <f t="shared" si="2"/>
        <v>10</v>
      </c>
      <c r="G22" s="709" t="s">
        <v>173</v>
      </c>
      <c r="H22" s="710">
        <v>48</v>
      </c>
      <c r="I22" s="230">
        <f t="shared" si="7"/>
        <v>2630</v>
      </c>
      <c r="J22" s="59">
        <f t="shared" si="3"/>
        <v>480</v>
      </c>
      <c r="L22" s="581"/>
      <c r="M22" s="670">
        <f t="shared" si="8"/>
        <v>1375</v>
      </c>
      <c r="N22" s="624"/>
      <c r="O22" s="562">
        <f t="shared" si="11"/>
        <v>0</v>
      </c>
      <c r="P22" s="691"/>
      <c r="Q22" s="562">
        <f t="shared" si="4"/>
        <v>0</v>
      </c>
      <c r="R22" s="563"/>
      <c r="S22" s="710"/>
      <c r="T22" s="230">
        <f t="shared" si="9"/>
        <v>13750</v>
      </c>
      <c r="U22" s="59">
        <f t="shared" si="5"/>
        <v>0</v>
      </c>
    </row>
    <row r="23" spans="1:21" x14ac:dyDescent="0.25">
      <c r="A23" s="19"/>
      <c r="B23" s="670">
        <f t="shared" si="6"/>
        <v>253</v>
      </c>
      <c r="C23" s="624">
        <v>10</v>
      </c>
      <c r="D23" s="707">
        <f t="shared" si="10"/>
        <v>100</v>
      </c>
      <c r="E23" s="1058">
        <v>45070</v>
      </c>
      <c r="F23" s="707">
        <f t="shared" si="2"/>
        <v>100</v>
      </c>
      <c r="G23" s="709" t="s">
        <v>178</v>
      </c>
      <c r="H23" s="710">
        <v>48</v>
      </c>
      <c r="I23" s="230">
        <f t="shared" si="7"/>
        <v>2530</v>
      </c>
      <c r="J23" s="59">
        <f t="shared" si="3"/>
        <v>4800</v>
      </c>
      <c r="L23" s="973"/>
      <c r="M23" s="670">
        <f t="shared" si="8"/>
        <v>1375</v>
      </c>
      <c r="N23" s="624"/>
      <c r="O23" s="562">
        <f t="shared" si="11"/>
        <v>0</v>
      </c>
      <c r="P23" s="687"/>
      <c r="Q23" s="562">
        <f t="shared" si="4"/>
        <v>0</v>
      </c>
      <c r="R23" s="563"/>
      <c r="S23" s="710"/>
      <c r="T23" s="230">
        <f t="shared" si="9"/>
        <v>13750</v>
      </c>
      <c r="U23" s="59">
        <f t="shared" si="5"/>
        <v>0</v>
      </c>
    </row>
    <row r="24" spans="1:21" x14ac:dyDescent="0.25">
      <c r="A24" s="19"/>
      <c r="B24" s="670">
        <f t="shared" si="6"/>
        <v>250</v>
      </c>
      <c r="C24" s="624">
        <v>3</v>
      </c>
      <c r="D24" s="707">
        <f t="shared" si="10"/>
        <v>30</v>
      </c>
      <c r="E24" s="1058">
        <v>45075</v>
      </c>
      <c r="F24" s="707">
        <f t="shared" si="2"/>
        <v>30</v>
      </c>
      <c r="G24" s="709" t="s">
        <v>183</v>
      </c>
      <c r="H24" s="710">
        <v>48</v>
      </c>
      <c r="I24" s="230">
        <f t="shared" si="7"/>
        <v>2500</v>
      </c>
      <c r="J24" s="59">
        <f t="shared" si="3"/>
        <v>1440</v>
      </c>
      <c r="L24" s="973"/>
      <c r="M24" s="670">
        <f t="shared" si="8"/>
        <v>1375</v>
      </c>
      <c r="N24" s="624"/>
      <c r="O24" s="562">
        <f t="shared" si="11"/>
        <v>0</v>
      </c>
      <c r="P24" s="687"/>
      <c r="Q24" s="562">
        <f t="shared" si="4"/>
        <v>0</v>
      </c>
      <c r="R24" s="563"/>
      <c r="S24" s="710"/>
      <c r="T24" s="230">
        <f t="shared" si="9"/>
        <v>13750</v>
      </c>
      <c r="U24" s="59">
        <f t="shared" si="5"/>
        <v>0</v>
      </c>
    </row>
    <row r="25" spans="1:21" x14ac:dyDescent="0.25">
      <c r="A25" s="19"/>
      <c r="B25" s="670">
        <f t="shared" si="6"/>
        <v>249</v>
      </c>
      <c r="C25" s="624">
        <v>1</v>
      </c>
      <c r="D25" s="707">
        <f t="shared" si="10"/>
        <v>10</v>
      </c>
      <c r="E25" s="1058">
        <v>45076</v>
      </c>
      <c r="F25" s="707">
        <f t="shared" si="2"/>
        <v>10</v>
      </c>
      <c r="G25" s="709" t="s">
        <v>188</v>
      </c>
      <c r="H25" s="710">
        <v>48</v>
      </c>
      <c r="I25" s="230">
        <f t="shared" si="7"/>
        <v>2490</v>
      </c>
      <c r="J25" s="59">
        <f t="shared" si="3"/>
        <v>480</v>
      </c>
      <c r="L25" s="973"/>
      <c r="M25" s="670">
        <f t="shared" si="8"/>
        <v>1375</v>
      </c>
      <c r="N25" s="624"/>
      <c r="O25" s="562">
        <f t="shared" si="11"/>
        <v>0</v>
      </c>
      <c r="P25" s="687"/>
      <c r="Q25" s="562">
        <f t="shared" si="4"/>
        <v>0</v>
      </c>
      <c r="R25" s="563"/>
      <c r="S25" s="710"/>
      <c r="T25" s="230">
        <f t="shared" si="9"/>
        <v>13750</v>
      </c>
      <c r="U25" s="59">
        <f t="shared" si="5"/>
        <v>0</v>
      </c>
    </row>
    <row r="26" spans="1:21" x14ac:dyDescent="0.25">
      <c r="A26" s="19"/>
      <c r="B26" s="670">
        <f t="shared" si="6"/>
        <v>247</v>
      </c>
      <c r="C26" s="624">
        <v>2</v>
      </c>
      <c r="D26" s="707">
        <f t="shared" si="10"/>
        <v>20</v>
      </c>
      <c r="E26" s="1058">
        <v>45077</v>
      </c>
      <c r="F26" s="707">
        <f t="shared" si="2"/>
        <v>20</v>
      </c>
      <c r="G26" s="709" t="s">
        <v>190</v>
      </c>
      <c r="H26" s="710">
        <v>48</v>
      </c>
      <c r="I26" s="230">
        <f t="shared" si="7"/>
        <v>2470</v>
      </c>
      <c r="J26" s="59">
        <f t="shared" si="3"/>
        <v>960</v>
      </c>
      <c r="L26" s="973"/>
      <c r="M26" s="670">
        <f t="shared" si="8"/>
        <v>1375</v>
      </c>
      <c r="N26" s="624"/>
      <c r="O26" s="562">
        <f t="shared" si="11"/>
        <v>0</v>
      </c>
      <c r="P26" s="687"/>
      <c r="Q26" s="562">
        <f t="shared" si="4"/>
        <v>0</v>
      </c>
      <c r="R26" s="563"/>
      <c r="S26" s="710"/>
      <c r="T26" s="230">
        <f t="shared" si="9"/>
        <v>13750</v>
      </c>
      <c r="U26" s="59">
        <f t="shared" si="5"/>
        <v>0</v>
      </c>
    </row>
    <row r="27" spans="1:21" x14ac:dyDescent="0.25">
      <c r="A27" s="19"/>
      <c r="B27" s="628">
        <f t="shared" si="6"/>
        <v>237</v>
      </c>
      <c r="C27" s="624">
        <v>10</v>
      </c>
      <c r="D27" s="707">
        <f t="shared" si="10"/>
        <v>100</v>
      </c>
      <c r="E27" s="1058">
        <v>45082</v>
      </c>
      <c r="F27" s="707">
        <f t="shared" si="2"/>
        <v>100</v>
      </c>
      <c r="G27" s="709" t="s">
        <v>199</v>
      </c>
      <c r="H27" s="710">
        <v>48</v>
      </c>
      <c r="I27" s="929">
        <f t="shared" si="7"/>
        <v>2370</v>
      </c>
      <c r="J27" s="59">
        <f t="shared" si="3"/>
        <v>4800</v>
      </c>
      <c r="L27" s="973"/>
      <c r="M27" s="670">
        <f t="shared" si="8"/>
        <v>1375</v>
      </c>
      <c r="N27" s="624"/>
      <c r="O27" s="562">
        <f t="shared" si="11"/>
        <v>0</v>
      </c>
      <c r="P27" s="687"/>
      <c r="Q27" s="562">
        <f t="shared" si="4"/>
        <v>0</v>
      </c>
      <c r="R27" s="563"/>
      <c r="S27" s="710"/>
      <c r="T27" s="230">
        <f t="shared" si="9"/>
        <v>13750</v>
      </c>
      <c r="U27" s="59">
        <f t="shared" si="5"/>
        <v>0</v>
      </c>
    </row>
    <row r="28" spans="1:21" x14ac:dyDescent="0.25">
      <c r="B28" s="670">
        <f t="shared" si="6"/>
        <v>237</v>
      </c>
      <c r="C28" s="624"/>
      <c r="D28" s="707">
        <f t="shared" si="10"/>
        <v>0</v>
      </c>
      <c r="E28" s="1058"/>
      <c r="F28" s="707">
        <f t="shared" si="2"/>
        <v>0</v>
      </c>
      <c r="G28" s="709"/>
      <c r="H28" s="710"/>
      <c r="I28" s="230">
        <f t="shared" si="7"/>
        <v>2370</v>
      </c>
      <c r="J28" s="59">
        <f t="shared" si="3"/>
        <v>0</v>
      </c>
      <c r="L28" s="594"/>
      <c r="M28" s="670">
        <f t="shared" si="8"/>
        <v>1375</v>
      </c>
      <c r="N28" s="624"/>
      <c r="O28" s="562">
        <f t="shared" si="11"/>
        <v>0</v>
      </c>
      <c r="P28" s="687"/>
      <c r="Q28" s="562">
        <f t="shared" si="4"/>
        <v>0</v>
      </c>
      <c r="R28" s="563"/>
      <c r="S28" s="710"/>
      <c r="T28" s="230">
        <f t="shared" si="9"/>
        <v>13750</v>
      </c>
      <c r="U28" s="59">
        <f t="shared" si="5"/>
        <v>0</v>
      </c>
    </row>
    <row r="29" spans="1:21" x14ac:dyDescent="0.25">
      <c r="B29" s="670">
        <f t="shared" si="6"/>
        <v>207</v>
      </c>
      <c r="C29" s="624">
        <v>30</v>
      </c>
      <c r="D29" s="705">
        <f t="shared" si="10"/>
        <v>300</v>
      </c>
      <c r="E29" s="1082">
        <v>45084</v>
      </c>
      <c r="F29" s="705">
        <f t="shared" si="2"/>
        <v>300</v>
      </c>
      <c r="G29" s="803" t="s">
        <v>205</v>
      </c>
      <c r="H29" s="804">
        <v>41.5</v>
      </c>
      <c r="I29" s="230">
        <f t="shared" si="7"/>
        <v>2070</v>
      </c>
      <c r="J29" s="59">
        <f t="shared" si="3"/>
        <v>12450</v>
      </c>
      <c r="L29" s="594"/>
      <c r="M29" s="670">
        <f t="shared" si="8"/>
        <v>1375</v>
      </c>
      <c r="N29" s="624"/>
      <c r="O29" s="562">
        <f t="shared" si="11"/>
        <v>0</v>
      </c>
      <c r="P29" s="687"/>
      <c r="Q29" s="562">
        <f t="shared" si="4"/>
        <v>0</v>
      </c>
      <c r="R29" s="563"/>
      <c r="S29" s="804"/>
      <c r="T29" s="230">
        <f t="shared" si="9"/>
        <v>13750</v>
      </c>
      <c r="U29" s="59">
        <f t="shared" si="5"/>
        <v>0</v>
      </c>
    </row>
    <row r="30" spans="1:21" x14ac:dyDescent="0.25">
      <c r="B30" s="174">
        <f t="shared" si="6"/>
        <v>202</v>
      </c>
      <c r="C30" s="15">
        <v>5</v>
      </c>
      <c r="D30" s="526">
        <f t="shared" si="10"/>
        <v>50</v>
      </c>
      <c r="E30" s="1083">
        <v>45084</v>
      </c>
      <c r="F30" s="526">
        <f t="shared" si="2"/>
        <v>50</v>
      </c>
      <c r="G30" s="524" t="s">
        <v>206</v>
      </c>
      <c r="H30" s="358">
        <v>48</v>
      </c>
      <c r="I30" s="230">
        <f t="shared" si="7"/>
        <v>2020</v>
      </c>
      <c r="J30" s="59">
        <f t="shared" si="3"/>
        <v>2400</v>
      </c>
      <c r="L30" s="594"/>
      <c r="M30" s="670">
        <f t="shared" si="8"/>
        <v>1375</v>
      </c>
      <c r="N30" s="624"/>
      <c r="O30" s="562">
        <f t="shared" si="11"/>
        <v>0</v>
      </c>
      <c r="P30" s="687"/>
      <c r="Q30" s="562">
        <f t="shared" si="4"/>
        <v>0</v>
      </c>
      <c r="R30" s="563"/>
      <c r="S30" s="804"/>
      <c r="T30" s="230">
        <f t="shared" si="9"/>
        <v>13750</v>
      </c>
      <c r="U30" s="59">
        <f t="shared" si="5"/>
        <v>0</v>
      </c>
    </row>
    <row r="31" spans="1:21" x14ac:dyDescent="0.25">
      <c r="B31" s="174">
        <f t="shared" si="6"/>
        <v>196</v>
      </c>
      <c r="C31" s="15">
        <v>6</v>
      </c>
      <c r="D31" s="526">
        <f t="shared" si="10"/>
        <v>60</v>
      </c>
      <c r="E31" s="1083">
        <v>45085</v>
      </c>
      <c r="F31" s="526">
        <f t="shared" si="2"/>
        <v>60</v>
      </c>
      <c r="G31" s="524" t="s">
        <v>207</v>
      </c>
      <c r="H31" s="358">
        <v>48</v>
      </c>
      <c r="I31" s="230">
        <f t="shared" si="7"/>
        <v>1960</v>
      </c>
      <c r="J31" s="59">
        <f t="shared" si="3"/>
        <v>2880</v>
      </c>
      <c r="L31" s="594"/>
      <c r="M31" s="670">
        <f t="shared" si="8"/>
        <v>1375</v>
      </c>
      <c r="N31" s="624"/>
      <c r="O31" s="562">
        <f t="shared" si="11"/>
        <v>0</v>
      </c>
      <c r="P31" s="687"/>
      <c r="Q31" s="562">
        <f t="shared" si="4"/>
        <v>0</v>
      </c>
      <c r="R31" s="563"/>
      <c r="S31" s="804"/>
      <c r="T31" s="230">
        <f t="shared" si="9"/>
        <v>13750</v>
      </c>
      <c r="U31" s="59">
        <f t="shared" si="5"/>
        <v>0</v>
      </c>
    </row>
    <row r="32" spans="1:21" x14ac:dyDescent="0.25">
      <c r="B32" s="174">
        <f t="shared" si="6"/>
        <v>194</v>
      </c>
      <c r="C32" s="15">
        <v>2</v>
      </c>
      <c r="D32" s="526">
        <f t="shared" si="10"/>
        <v>20</v>
      </c>
      <c r="E32" s="1083">
        <v>45086</v>
      </c>
      <c r="F32" s="526">
        <f t="shared" si="2"/>
        <v>20</v>
      </c>
      <c r="G32" s="524" t="s">
        <v>208</v>
      </c>
      <c r="H32" s="358">
        <v>48</v>
      </c>
      <c r="I32" s="230">
        <f t="shared" si="7"/>
        <v>1940</v>
      </c>
      <c r="J32" s="59">
        <f t="shared" si="3"/>
        <v>960</v>
      </c>
      <c r="L32" s="594"/>
      <c r="M32" s="670">
        <f t="shared" si="8"/>
        <v>1375</v>
      </c>
      <c r="N32" s="624"/>
      <c r="O32" s="562">
        <f t="shared" si="11"/>
        <v>0</v>
      </c>
      <c r="P32" s="687"/>
      <c r="Q32" s="562">
        <f t="shared" si="4"/>
        <v>0</v>
      </c>
      <c r="R32" s="563"/>
      <c r="S32" s="804"/>
      <c r="T32" s="230">
        <f t="shared" si="9"/>
        <v>13750</v>
      </c>
      <c r="U32" s="59">
        <f t="shared" si="5"/>
        <v>0</v>
      </c>
    </row>
    <row r="33" spans="2:21" x14ac:dyDescent="0.25">
      <c r="B33" s="174">
        <f t="shared" si="6"/>
        <v>189</v>
      </c>
      <c r="C33" s="15">
        <v>5</v>
      </c>
      <c r="D33" s="526">
        <f t="shared" si="10"/>
        <v>50</v>
      </c>
      <c r="E33" s="1083">
        <v>45087</v>
      </c>
      <c r="F33" s="526">
        <f t="shared" si="2"/>
        <v>50</v>
      </c>
      <c r="G33" s="524" t="s">
        <v>210</v>
      </c>
      <c r="H33" s="358">
        <v>48</v>
      </c>
      <c r="I33" s="230">
        <f t="shared" si="7"/>
        <v>1890</v>
      </c>
      <c r="J33" s="59">
        <f t="shared" si="3"/>
        <v>2400</v>
      </c>
      <c r="L33" s="594"/>
      <c r="M33" s="670">
        <f t="shared" si="8"/>
        <v>1375</v>
      </c>
      <c r="N33" s="624"/>
      <c r="O33" s="562">
        <f t="shared" si="11"/>
        <v>0</v>
      </c>
      <c r="P33" s="687"/>
      <c r="Q33" s="562">
        <f t="shared" si="4"/>
        <v>0</v>
      </c>
      <c r="R33" s="563"/>
      <c r="S33" s="804"/>
      <c r="T33" s="230">
        <f t="shared" si="9"/>
        <v>13750</v>
      </c>
      <c r="U33" s="59">
        <f t="shared" si="5"/>
        <v>0</v>
      </c>
    </row>
    <row r="34" spans="2:21" x14ac:dyDescent="0.25">
      <c r="B34" s="174">
        <f t="shared" si="6"/>
        <v>179</v>
      </c>
      <c r="C34" s="15">
        <v>10</v>
      </c>
      <c r="D34" s="526">
        <f t="shared" si="10"/>
        <v>100</v>
      </c>
      <c r="E34" s="1083">
        <v>45087</v>
      </c>
      <c r="F34" s="526">
        <f t="shared" si="2"/>
        <v>100</v>
      </c>
      <c r="G34" s="524" t="s">
        <v>218</v>
      </c>
      <c r="H34" s="358">
        <v>48</v>
      </c>
      <c r="I34" s="230">
        <f t="shared" si="7"/>
        <v>1790</v>
      </c>
      <c r="J34" s="59">
        <f t="shared" si="3"/>
        <v>4800</v>
      </c>
      <c r="L34" s="594"/>
      <c r="M34" s="670">
        <f t="shared" si="8"/>
        <v>1375</v>
      </c>
      <c r="N34" s="624"/>
      <c r="O34" s="562">
        <f t="shared" si="11"/>
        <v>0</v>
      </c>
      <c r="P34" s="687"/>
      <c r="Q34" s="562">
        <f t="shared" si="4"/>
        <v>0</v>
      </c>
      <c r="R34" s="563"/>
      <c r="S34" s="804"/>
      <c r="T34" s="230">
        <f t="shared" si="9"/>
        <v>13750</v>
      </c>
      <c r="U34" s="59">
        <f t="shared" si="5"/>
        <v>0</v>
      </c>
    </row>
    <row r="35" spans="2:21" x14ac:dyDescent="0.25">
      <c r="B35" s="174">
        <f t="shared" si="6"/>
        <v>178</v>
      </c>
      <c r="C35" s="15">
        <v>1</v>
      </c>
      <c r="D35" s="526">
        <f t="shared" si="10"/>
        <v>10</v>
      </c>
      <c r="E35" s="1083">
        <v>45089</v>
      </c>
      <c r="F35" s="526">
        <f t="shared" si="2"/>
        <v>10</v>
      </c>
      <c r="G35" s="524" t="s">
        <v>220</v>
      </c>
      <c r="H35" s="358">
        <v>48</v>
      </c>
      <c r="I35" s="230">
        <f t="shared" si="7"/>
        <v>1780</v>
      </c>
      <c r="J35" s="59">
        <f t="shared" si="3"/>
        <v>480</v>
      </c>
      <c r="L35" s="594"/>
      <c r="M35" s="670">
        <f t="shared" si="8"/>
        <v>1375</v>
      </c>
      <c r="N35" s="624"/>
      <c r="O35" s="562">
        <f t="shared" si="11"/>
        <v>0</v>
      </c>
      <c r="P35" s="687"/>
      <c r="Q35" s="562">
        <f t="shared" si="4"/>
        <v>0</v>
      </c>
      <c r="R35" s="563"/>
      <c r="S35" s="804"/>
      <c r="T35" s="230">
        <f t="shared" si="9"/>
        <v>13750</v>
      </c>
      <c r="U35" s="59">
        <f t="shared" si="5"/>
        <v>0</v>
      </c>
    </row>
    <row r="36" spans="2:21" x14ac:dyDescent="0.25">
      <c r="B36" s="174">
        <f t="shared" si="6"/>
        <v>172</v>
      </c>
      <c r="C36" s="15">
        <v>6</v>
      </c>
      <c r="D36" s="526">
        <f t="shared" si="10"/>
        <v>60</v>
      </c>
      <c r="E36" s="1083">
        <v>45091</v>
      </c>
      <c r="F36" s="526">
        <f t="shared" si="2"/>
        <v>60</v>
      </c>
      <c r="G36" s="524" t="s">
        <v>226</v>
      </c>
      <c r="H36" s="358">
        <v>48</v>
      </c>
      <c r="I36" s="230">
        <f t="shared" si="7"/>
        <v>1720</v>
      </c>
      <c r="J36" s="59">
        <f t="shared" si="3"/>
        <v>2880</v>
      </c>
      <c r="L36" s="594"/>
      <c r="M36" s="670">
        <f t="shared" si="8"/>
        <v>1375</v>
      </c>
      <c r="N36" s="624"/>
      <c r="O36" s="562">
        <f t="shared" si="11"/>
        <v>0</v>
      </c>
      <c r="P36" s="687"/>
      <c r="Q36" s="562">
        <f t="shared" si="4"/>
        <v>0</v>
      </c>
      <c r="R36" s="563"/>
      <c r="S36" s="804"/>
      <c r="T36" s="230">
        <f t="shared" si="9"/>
        <v>13750</v>
      </c>
      <c r="U36" s="59">
        <f t="shared" si="5"/>
        <v>0</v>
      </c>
    </row>
    <row r="37" spans="2:21" x14ac:dyDescent="0.25">
      <c r="B37" s="174">
        <f t="shared" si="6"/>
        <v>166</v>
      </c>
      <c r="C37" s="15">
        <v>6</v>
      </c>
      <c r="D37" s="526">
        <f t="shared" si="10"/>
        <v>60</v>
      </c>
      <c r="E37" s="1083">
        <v>45093</v>
      </c>
      <c r="F37" s="526">
        <f t="shared" si="2"/>
        <v>60</v>
      </c>
      <c r="G37" s="524" t="s">
        <v>235</v>
      </c>
      <c r="H37" s="358">
        <v>48</v>
      </c>
      <c r="I37" s="230">
        <f t="shared" si="7"/>
        <v>1660</v>
      </c>
      <c r="J37" s="59">
        <f t="shared" si="3"/>
        <v>2880</v>
      </c>
      <c r="L37" s="594"/>
      <c r="M37" s="670">
        <f t="shared" si="8"/>
        <v>1375</v>
      </c>
      <c r="N37" s="624"/>
      <c r="O37" s="562">
        <f t="shared" si="11"/>
        <v>0</v>
      </c>
      <c r="P37" s="687"/>
      <c r="Q37" s="562">
        <f t="shared" si="4"/>
        <v>0</v>
      </c>
      <c r="R37" s="563"/>
      <c r="S37" s="804"/>
      <c r="T37" s="230">
        <f t="shared" si="9"/>
        <v>13750</v>
      </c>
      <c r="U37" s="59">
        <f t="shared" si="5"/>
        <v>0</v>
      </c>
    </row>
    <row r="38" spans="2:21" x14ac:dyDescent="0.25">
      <c r="B38" s="174">
        <f t="shared" si="6"/>
        <v>136</v>
      </c>
      <c r="C38" s="15">
        <v>30</v>
      </c>
      <c r="D38" s="526">
        <f t="shared" si="10"/>
        <v>300</v>
      </c>
      <c r="E38" s="1083">
        <v>45093</v>
      </c>
      <c r="F38" s="526">
        <f t="shared" si="2"/>
        <v>300</v>
      </c>
      <c r="G38" s="524" t="s">
        <v>236</v>
      </c>
      <c r="H38" s="358">
        <v>41.5</v>
      </c>
      <c r="I38" s="230">
        <f t="shared" si="7"/>
        <v>1360</v>
      </c>
      <c r="J38" s="59">
        <f t="shared" si="3"/>
        <v>12450</v>
      </c>
      <c r="L38" s="594"/>
      <c r="M38" s="670">
        <f t="shared" si="8"/>
        <v>1375</v>
      </c>
      <c r="N38" s="624"/>
      <c r="O38" s="562">
        <f t="shared" si="11"/>
        <v>0</v>
      </c>
      <c r="P38" s="687"/>
      <c r="Q38" s="562">
        <f t="shared" si="4"/>
        <v>0</v>
      </c>
      <c r="R38" s="563"/>
      <c r="S38" s="804"/>
      <c r="T38" s="230">
        <f t="shared" si="9"/>
        <v>13750</v>
      </c>
      <c r="U38" s="59">
        <f t="shared" si="5"/>
        <v>0</v>
      </c>
    </row>
    <row r="39" spans="2:21" x14ac:dyDescent="0.25">
      <c r="B39" s="174">
        <f t="shared" si="6"/>
        <v>131</v>
      </c>
      <c r="C39" s="15">
        <v>5</v>
      </c>
      <c r="D39" s="526">
        <f t="shared" si="10"/>
        <v>50</v>
      </c>
      <c r="E39" s="1083">
        <v>45094</v>
      </c>
      <c r="F39" s="526">
        <f t="shared" si="2"/>
        <v>50</v>
      </c>
      <c r="G39" s="524" t="s">
        <v>238</v>
      </c>
      <c r="H39" s="358">
        <v>48</v>
      </c>
      <c r="I39" s="230">
        <f t="shared" si="7"/>
        <v>1310</v>
      </c>
      <c r="J39" s="59">
        <f t="shared" si="3"/>
        <v>2400</v>
      </c>
      <c r="L39" s="594"/>
      <c r="M39" s="670">
        <f t="shared" si="8"/>
        <v>1375</v>
      </c>
      <c r="N39" s="624"/>
      <c r="O39" s="562">
        <f t="shared" si="11"/>
        <v>0</v>
      </c>
      <c r="P39" s="687"/>
      <c r="Q39" s="562">
        <f t="shared" si="4"/>
        <v>0</v>
      </c>
      <c r="R39" s="563"/>
      <c r="S39" s="804"/>
      <c r="T39" s="230">
        <f t="shared" si="9"/>
        <v>13750</v>
      </c>
      <c r="U39" s="59">
        <f t="shared" si="5"/>
        <v>0</v>
      </c>
    </row>
    <row r="40" spans="2:21" x14ac:dyDescent="0.25">
      <c r="B40" s="174">
        <f t="shared" si="6"/>
        <v>130</v>
      </c>
      <c r="C40" s="15">
        <v>1</v>
      </c>
      <c r="D40" s="526">
        <f t="shared" si="10"/>
        <v>10</v>
      </c>
      <c r="E40" s="1083">
        <v>45094</v>
      </c>
      <c r="F40" s="526">
        <f t="shared" si="2"/>
        <v>10</v>
      </c>
      <c r="G40" s="524" t="s">
        <v>223</v>
      </c>
      <c r="H40" s="358">
        <v>48</v>
      </c>
      <c r="I40" s="230">
        <f t="shared" si="7"/>
        <v>1300</v>
      </c>
      <c r="J40" s="59">
        <f t="shared" si="3"/>
        <v>480</v>
      </c>
      <c r="L40" s="594"/>
      <c r="M40" s="670">
        <f t="shared" si="8"/>
        <v>1375</v>
      </c>
      <c r="N40" s="624"/>
      <c r="O40" s="562">
        <f t="shared" si="11"/>
        <v>0</v>
      </c>
      <c r="P40" s="687"/>
      <c r="Q40" s="562">
        <f t="shared" si="4"/>
        <v>0</v>
      </c>
      <c r="R40" s="563"/>
      <c r="S40" s="804"/>
      <c r="T40" s="230">
        <f t="shared" si="9"/>
        <v>13750</v>
      </c>
      <c r="U40" s="59">
        <f t="shared" si="5"/>
        <v>0</v>
      </c>
    </row>
    <row r="41" spans="2:21" x14ac:dyDescent="0.25">
      <c r="B41" s="174">
        <f t="shared" si="6"/>
        <v>126</v>
      </c>
      <c r="C41" s="15">
        <v>4</v>
      </c>
      <c r="D41" s="526">
        <f t="shared" si="10"/>
        <v>40</v>
      </c>
      <c r="E41" s="1083">
        <v>45097</v>
      </c>
      <c r="F41" s="526">
        <f t="shared" si="2"/>
        <v>40</v>
      </c>
      <c r="G41" s="524" t="s">
        <v>243</v>
      </c>
      <c r="H41" s="358">
        <v>48</v>
      </c>
      <c r="I41" s="230">
        <f t="shared" si="7"/>
        <v>1260</v>
      </c>
      <c r="J41" s="59">
        <f t="shared" si="3"/>
        <v>1920</v>
      </c>
      <c r="L41" s="594"/>
      <c r="M41" s="670">
        <f t="shared" si="8"/>
        <v>1375</v>
      </c>
      <c r="N41" s="624"/>
      <c r="O41" s="562">
        <f t="shared" si="11"/>
        <v>0</v>
      </c>
      <c r="P41" s="687"/>
      <c r="Q41" s="562">
        <f t="shared" si="4"/>
        <v>0</v>
      </c>
      <c r="R41" s="563"/>
      <c r="S41" s="804"/>
      <c r="T41" s="230">
        <f t="shared" si="9"/>
        <v>13750</v>
      </c>
      <c r="U41" s="59">
        <f t="shared" si="5"/>
        <v>0</v>
      </c>
    </row>
    <row r="42" spans="2:21" x14ac:dyDescent="0.25">
      <c r="B42" s="174">
        <f t="shared" si="6"/>
        <v>76</v>
      </c>
      <c r="C42" s="15">
        <v>50</v>
      </c>
      <c r="D42" s="526">
        <f t="shared" si="10"/>
        <v>500</v>
      </c>
      <c r="E42" s="1083">
        <v>45097</v>
      </c>
      <c r="F42" s="526">
        <f t="shared" si="2"/>
        <v>500</v>
      </c>
      <c r="G42" s="524" t="s">
        <v>244</v>
      </c>
      <c r="H42" s="358">
        <v>41.5</v>
      </c>
      <c r="I42" s="230">
        <f t="shared" si="7"/>
        <v>760</v>
      </c>
      <c r="J42" s="59">
        <f t="shared" si="3"/>
        <v>20750</v>
      </c>
      <c r="L42" s="594"/>
      <c r="M42" s="670">
        <f t="shared" si="8"/>
        <v>1375</v>
      </c>
      <c r="N42" s="624"/>
      <c r="O42" s="562">
        <f t="shared" si="11"/>
        <v>0</v>
      </c>
      <c r="P42" s="687"/>
      <c r="Q42" s="562">
        <f t="shared" si="4"/>
        <v>0</v>
      </c>
      <c r="R42" s="563"/>
      <c r="S42" s="804"/>
      <c r="T42" s="230">
        <f t="shared" si="9"/>
        <v>13750</v>
      </c>
      <c r="U42" s="59">
        <f t="shared" si="5"/>
        <v>0</v>
      </c>
    </row>
    <row r="43" spans="2:21" x14ac:dyDescent="0.25">
      <c r="B43" s="174">
        <f t="shared" si="6"/>
        <v>46</v>
      </c>
      <c r="C43" s="15">
        <v>30</v>
      </c>
      <c r="D43" s="526">
        <f t="shared" si="10"/>
        <v>300</v>
      </c>
      <c r="E43" s="1083">
        <v>45098</v>
      </c>
      <c r="F43" s="526">
        <f t="shared" si="2"/>
        <v>300</v>
      </c>
      <c r="G43" s="524" t="s">
        <v>246</v>
      </c>
      <c r="H43" s="358">
        <v>41.5</v>
      </c>
      <c r="I43" s="230">
        <f t="shared" si="7"/>
        <v>460</v>
      </c>
      <c r="J43" s="59">
        <f t="shared" si="3"/>
        <v>12450</v>
      </c>
      <c r="L43" s="594"/>
      <c r="M43" s="670">
        <f t="shared" si="8"/>
        <v>1375</v>
      </c>
      <c r="N43" s="624"/>
      <c r="O43" s="562">
        <f t="shared" si="11"/>
        <v>0</v>
      </c>
      <c r="P43" s="687"/>
      <c r="Q43" s="562">
        <f t="shared" si="4"/>
        <v>0</v>
      </c>
      <c r="R43" s="563"/>
      <c r="S43" s="804"/>
      <c r="T43" s="230">
        <f t="shared" si="9"/>
        <v>13750</v>
      </c>
      <c r="U43" s="59">
        <f t="shared" si="5"/>
        <v>0</v>
      </c>
    </row>
    <row r="44" spans="2:21" x14ac:dyDescent="0.25">
      <c r="B44" s="174">
        <f t="shared" si="6"/>
        <v>42</v>
      </c>
      <c r="C44" s="15">
        <v>4</v>
      </c>
      <c r="D44" s="526">
        <f t="shared" si="10"/>
        <v>40</v>
      </c>
      <c r="E44" s="1083">
        <v>45099</v>
      </c>
      <c r="F44" s="526">
        <f t="shared" si="2"/>
        <v>40</v>
      </c>
      <c r="G44" s="524" t="s">
        <v>251</v>
      </c>
      <c r="H44" s="358">
        <v>48</v>
      </c>
      <c r="I44" s="230">
        <f t="shared" si="7"/>
        <v>420</v>
      </c>
      <c r="J44" s="59">
        <f t="shared" si="3"/>
        <v>1920</v>
      </c>
      <c r="L44" s="594"/>
      <c r="M44" s="670">
        <f t="shared" si="8"/>
        <v>1375</v>
      </c>
      <c r="N44" s="624"/>
      <c r="O44" s="562">
        <f t="shared" si="11"/>
        <v>0</v>
      </c>
      <c r="P44" s="687"/>
      <c r="Q44" s="562">
        <f t="shared" si="4"/>
        <v>0</v>
      </c>
      <c r="R44" s="563"/>
      <c r="S44" s="804"/>
      <c r="T44" s="230">
        <f t="shared" si="9"/>
        <v>13750</v>
      </c>
      <c r="U44" s="59">
        <f t="shared" si="5"/>
        <v>0</v>
      </c>
    </row>
    <row r="45" spans="2:21" x14ac:dyDescent="0.25">
      <c r="B45" s="174">
        <f t="shared" si="6"/>
        <v>40</v>
      </c>
      <c r="C45" s="15">
        <v>2</v>
      </c>
      <c r="D45" s="526">
        <f t="shared" si="10"/>
        <v>20</v>
      </c>
      <c r="E45" s="1083">
        <v>45099</v>
      </c>
      <c r="F45" s="526">
        <f t="shared" si="2"/>
        <v>20</v>
      </c>
      <c r="G45" s="524" t="s">
        <v>252</v>
      </c>
      <c r="H45" s="358">
        <v>48</v>
      </c>
      <c r="I45" s="230">
        <f t="shared" si="7"/>
        <v>400</v>
      </c>
      <c r="J45" s="59">
        <f t="shared" si="3"/>
        <v>960</v>
      </c>
      <c r="L45" s="594"/>
      <c r="M45" s="670">
        <f t="shared" si="8"/>
        <v>1375</v>
      </c>
      <c r="N45" s="624"/>
      <c r="O45" s="562">
        <f t="shared" si="11"/>
        <v>0</v>
      </c>
      <c r="P45" s="687"/>
      <c r="Q45" s="562">
        <f t="shared" si="4"/>
        <v>0</v>
      </c>
      <c r="R45" s="563"/>
      <c r="S45" s="804"/>
      <c r="T45" s="230">
        <f t="shared" si="9"/>
        <v>13750</v>
      </c>
      <c r="U45" s="59">
        <f t="shared" si="5"/>
        <v>0</v>
      </c>
    </row>
    <row r="46" spans="2:21" x14ac:dyDescent="0.25">
      <c r="B46" s="174">
        <f t="shared" si="6"/>
        <v>30</v>
      </c>
      <c r="C46" s="15">
        <v>10</v>
      </c>
      <c r="D46" s="526">
        <f t="shared" si="10"/>
        <v>100</v>
      </c>
      <c r="E46" s="1083">
        <v>45100</v>
      </c>
      <c r="F46" s="526">
        <f t="shared" si="2"/>
        <v>100</v>
      </c>
      <c r="G46" s="524" t="s">
        <v>256</v>
      </c>
      <c r="H46" s="358">
        <v>48</v>
      </c>
      <c r="I46" s="230">
        <f t="shared" si="7"/>
        <v>300</v>
      </c>
      <c r="J46" s="59">
        <f t="shared" si="3"/>
        <v>4800</v>
      </c>
      <c r="L46" s="594"/>
      <c r="M46" s="670">
        <f t="shared" si="8"/>
        <v>1375</v>
      </c>
      <c r="N46" s="624"/>
      <c r="O46" s="562">
        <f t="shared" si="11"/>
        <v>0</v>
      </c>
      <c r="P46" s="687"/>
      <c r="Q46" s="562">
        <f t="shared" si="4"/>
        <v>0</v>
      </c>
      <c r="R46" s="563"/>
      <c r="S46" s="804"/>
      <c r="T46" s="230">
        <f t="shared" si="9"/>
        <v>13750</v>
      </c>
      <c r="U46" s="59">
        <f t="shared" si="5"/>
        <v>0</v>
      </c>
    </row>
    <row r="47" spans="2:21" x14ac:dyDescent="0.25">
      <c r="B47" s="174">
        <f t="shared" si="6"/>
        <v>28</v>
      </c>
      <c r="C47" s="15">
        <v>2</v>
      </c>
      <c r="D47" s="526">
        <f t="shared" si="10"/>
        <v>20</v>
      </c>
      <c r="E47" s="1083">
        <v>45101</v>
      </c>
      <c r="F47" s="526">
        <f t="shared" si="2"/>
        <v>20</v>
      </c>
      <c r="G47" s="524" t="s">
        <v>261</v>
      </c>
      <c r="H47" s="358">
        <v>48</v>
      </c>
      <c r="I47" s="230">
        <f t="shared" si="7"/>
        <v>280</v>
      </c>
      <c r="J47" s="59">
        <f t="shared" si="3"/>
        <v>960</v>
      </c>
      <c r="L47" s="594"/>
      <c r="M47" s="670">
        <f t="shared" si="8"/>
        <v>1375</v>
      </c>
      <c r="N47" s="624"/>
      <c r="O47" s="562">
        <f t="shared" si="11"/>
        <v>0</v>
      </c>
      <c r="P47" s="687"/>
      <c r="Q47" s="562">
        <f t="shared" si="4"/>
        <v>0</v>
      </c>
      <c r="R47" s="563"/>
      <c r="S47" s="804"/>
      <c r="T47" s="230">
        <f t="shared" si="9"/>
        <v>13750</v>
      </c>
      <c r="U47" s="59">
        <f t="shared" si="5"/>
        <v>0</v>
      </c>
    </row>
    <row r="48" spans="2:21" x14ac:dyDescent="0.25">
      <c r="B48" s="174">
        <f t="shared" si="6"/>
        <v>27</v>
      </c>
      <c r="C48" s="15">
        <v>1</v>
      </c>
      <c r="D48" s="526">
        <f t="shared" si="10"/>
        <v>10</v>
      </c>
      <c r="E48" s="1083">
        <v>45104</v>
      </c>
      <c r="F48" s="526">
        <f t="shared" si="2"/>
        <v>10</v>
      </c>
      <c r="G48" s="524" t="s">
        <v>271</v>
      </c>
      <c r="H48" s="358">
        <v>48</v>
      </c>
      <c r="I48" s="230">
        <f t="shared" si="7"/>
        <v>270</v>
      </c>
      <c r="J48" s="59">
        <f t="shared" si="3"/>
        <v>480</v>
      </c>
      <c r="L48" s="594"/>
      <c r="M48" s="670">
        <f t="shared" si="8"/>
        <v>1375</v>
      </c>
      <c r="N48" s="624"/>
      <c r="O48" s="562">
        <f t="shared" si="11"/>
        <v>0</v>
      </c>
      <c r="P48" s="687"/>
      <c r="Q48" s="562">
        <f t="shared" si="4"/>
        <v>0</v>
      </c>
      <c r="R48" s="563"/>
      <c r="S48" s="804"/>
      <c r="T48" s="230">
        <f t="shared" si="9"/>
        <v>13750</v>
      </c>
      <c r="U48" s="59">
        <f t="shared" si="5"/>
        <v>0</v>
      </c>
    </row>
    <row r="49" spans="2:21" x14ac:dyDescent="0.25">
      <c r="B49" s="174">
        <f t="shared" si="6"/>
        <v>21</v>
      </c>
      <c r="C49" s="15">
        <v>6</v>
      </c>
      <c r="D49" s="526">
        <f t="shared" si="10"/>
        <v>60</v>
      </c>
      <c r="E49" s="1083">
        <v>45104</v>
      </c>
      <c r="F49" s="526">
        <f t="shared" si="2"/>
        <v>60</v>
      </c>
      <c r="G49" s="524" t="s">
        <v>274</v>
      </c>
      <c r="H49" s="358">
        <v>48</v>
      </c>
      <c r="I49" s="230">
        <f t="shared" si="7"/>
        <v>210</v>
      </c>
      <c r="J49" s="59">
        <f t="shared" si="3"/>
        <v>2880</v>
      </c>
      <c r="L49" s="594"/>
      <c r="M49" s="670">
        <f t="shared" si="8"/>
        <v>1375</v>
      </c>
      <c r="N49" s="624"/>
      <c r="O49" s="562">
        <f t="shared" si="11"/>
        <v>0</v>
      </c>
      <c r="P49" s="687"/>
      <c r="Q49" s="562">
        <f t="shared" si="4"/>
        <v>0</v>
      </c>
      <c r="R49" s="563"/>
      <c r="S49" s="804"/>
      <c r="T49" s="230">
        <f t="shared" si="9"/>
        <v>13750</v>
      </c>
      <c r="U49" s="59">
        <f t="shared" si="5"/>
        <v>0</v>
      </c>
    </row>
    <row r="50" spans="2:21" x14ac:dyDescent="0.25">
      <c r="B50" s="174">
        <f t="shared" si="6"/>
        <v>20</v>
      </c>
      <c r="C50" s="15">
        <v>1</v>
      </c>
      <c r="D50" s="526">
        <f t="shared" si="10"/>
        <v>10</v>
      </c>
      <c r="E50" s="1083">
        <v>45106</v>
      </c>
      <c r="F50" s="526">
        <f t="shared" si="2"/>
        <v>10</v>
      </c>
      <c r="G50" s="524" t="s">
        <v>288</v>
      </c>
      <c r="H50" s="358">
        <v>48</v>
      </c>
      <c r="I50" s="230">
        <f t="shared" ref="I50:I70" si="12">I49-F50</f>
        <v>200</v>
      </c>
      <c r="J50" s="59">
        <f t="shared" ref="J50:J70" si="13">H50*F50</f>
        <v>480</v>
      </c>
      <c r="L50" s="594"/>
      <c r="M50" s="670">
        <f t="shared" si="8"/>
        <v>1375</v>
      </c>
      <c r="N50" s="624"/>
      <c r="O50" s="562">
        <f t="shared" si="11"/>
        <v>0</v>
      </c>
      <c r="P50" s="687"/>
      <c r="Q50" s="562">
        <f t="shared" si="4"/>
        <v>0</v>
      </c>
      <c r="R50" s="563"/>
      <c r="S50" s="804"/>
      <c r="T50" s="230">
        <f t="shared" si="9"/>
        <v>13750</v>
      </c>
      <c r="U50" s="59">
        <f t="shared" si="5"/>
        <v>0</v>
      </c>
    </row>
    <row r="51" spans="2:21" x14ac:dyDescent="0.25">
      <c r="B51" s="174">
        <f t="shared" si="6"/>
        <v>14</v>
      </c>
      <c r="C51" s="15">
        <v>6</v>
      </c>
      <c r="D51" s="526">
        <f t="shared" si="10"/>
        <v>60</v>
      </c>
      <c r="E51" s="1083">
        <v>45107</v>
      </c>
      <c r="F51" s="526">
        <f t="shared" si="2"/>
        <v>60</v>
      </c>
      <c r="G51" s="524" t="s">
        <v>294</v>
      </c>
      <c r="H51" s="358">
        <v>48</v>
      </c>
      <c r="I51" s="230">
        <f t="shared" si="12"/>
        <v>140</v>
      </c>
      <c r="J51" s="59">
        <f t="shared" si="13"/>
        <v>2880</v>
      </c>
      <c r="L51" s="594"/>
      <c r="M51" s="670">
        <f t="shared" si="8"/>
        <v>1375</v>
      </c>
      <c r="N51" s="624"/>
      <c r="O51" s="562">
        <f t="shared" si="11"/>
        <v>0</v>
      </c>
      <c r="P51" s="687"/>
      <c r="Q51" s="562">
        <f t="shared" si="4"/>
        <v>0</v>
      </c>
      <c r="R51" s="563"/>
      <c r="S51" s="804"/>
      <c r="T51" s="230">
        <f t="shared" si="9"/>
        <v>13750</v>
      </c>
      <c r="U51" s="59">
        <f t="shared" si="5"/>
        <v>0</v>
      </c>
    </row>
    <row r="52" spans="2:21" x14ac:dyDescent="0.25">
      <c r="B52" s="628">
        <f t="shared" si="6"/>
        <v>9</v>
      </c>
      <c r="C52" s="15">
        <v>5</v>
      </c>
      <c r="D52" s="526">
        <f t="shared" si="10"/>
        <v>50</v>
      </c>
      <c r="E52" s="1083">
        <v>45108</v>
      </c>
      <c r="F52" s="526">
        <f t="shared" si="2"/>
        <v>50</v>
      </c>
      <c r="G52" s="524" t="s">
        <v>297</v>
      </c>
      <c r="H52" s="358">
        <v>48</v>
      </c>
      <c r="I52" s="929">
        <f t="shared" si="12"/>
        <v>90</v>
      </c>
      <c r="J52" s="59">
        <f t="shared" si="13"/>
        <v>2400</v>
      </c>
      <c r="L52" s="594"/>
      <c r="M52" s="670">
        <f t="shared" si="8"/>
        <v>1375</v>
      </c>
      <c r="N52" s="624"/>
      <c r="O52" s="562">
        <f t="shared" si="11"/>
        <v>0</v>
      </c>
      <c r="P52" s="687"/>
      <c r="Q52" s="562">
        <f t="shared" si="4"/>
        <v>0</v>
      </c>
      <c r="R52" s="563"/>
      <c r="S52" s="804"/>
      <c r="T52" s="230">
        <f t="shared" si="9"/>
        <v>13750</v>
      </c>
      <c r="U52" s="59">
        <f t="shared" si="5"/>
        <v>0</v>
      </c>
    </row>
    <row r="53" spans="2:21" x14ac:dyDescent="0.25">
      <c r="B53" s="174">
        <f t="shared" si="6"/>
        <v>9</v>
      </c>
      <c r="C53" s="15"/>
      <c r="D53" s="526">
        <f t="shared" si="10"/>
        <v>0</v>
      </c>
      <c r="E53" s="1083"/>
      <c r="F53" s="526">
        <f t="shared" si="2"/>
        <v>0</v>
      </c>
      <c r="G53" s="524"/>
      <c r="H53" s="358"/>
      <c r="I53" s="230">
        <f t="shared" si="12"/>
        <v>90</v>
      </c>
      <c r="J53" s="59">
        <f t="shared" si="13"/>
        <v>0</v>
      </c>
      <c r="L53" s="594"/>
      <c r="M53" s="670">
        <f t="shared" si="8"/>
        <v>1375</v>
      </c>
      <c r="N53" s="624"/>
      <c r="O53" s="562">
        <f t="shared" si="11"/>
        <v>0</v>
      </c>
      <c r="P53" s="687"/>
      <c r="Q53" s="562">
        <f t="shared" si="4"/>
        <v>0</v>
      </c>
      <c r="R53" s="563"/>
      <c r="S53" s="804"/>
      <c r="T53" s="230">
        <f t="shared" si="9"/>
        <v>13750</v>
      </c>
      <c r="U53" s="59">
        <f t="shared" si="5"/>
        <v>0</v>
      </c>
    </row>
    <row r="54" spans="2:21" ht="15.75" x14ac:dyDescent="0.25">
      <c r="B54" s="174">
        <f t="shared" si="6"/>
        <v>6</v>
      </c>
      <c r="C54" s="15">
        <v>3</v>
      </c>
      <c r="D54" s="1270">
        <f t="shared" si="10"/>
        <v>30</v>
      </c>
      <c r="E54" s="1271">
        <v>45110</v>
      </c>
      <c r="F54" s="1270">
        <f t="shared" si="2"/>
        <v>30</v>
      </c>
      <c r="G54" s="1272" t="s">
        <v>491</v>
      </c>
      <c r="H54" s="1273">
        <v>48</v>
      </c>
      <c r="I54" s="230">
        <f t="shared" si="12"/>
        <v>60</v>
      </c>
      <c r="J54" s="59">
        <f t="shared" si="13"/>
        <v>1440</v>
      </c>
      <c r="L54" s="594"/>
      <c r="M54" s="670">
        <f t="shared" si="8"/>
        <v>1375</v>
      </c>
      <c r="N54" s="624"/>
      <c r="O54" s="1432">
        <f t="shared" si="11"/>
        <v>0</v>
      </c>
      <c r="P54" s="1433"/>
      <c r="Q54" s="1432">
        <f t="shared" si="4"/>
        <v>0</v>
      </c>
      <c r="R54" s="1434"/>
      <c r="S54" s="1431"/>
      <c r="T54" s="230">
        <f t="shared" si="9"/>
        <v>13750</v>
      </c>
      <c r="U54" s="59">
        <f t="shared" si="5"/>
        <v>0</v>
      </c>
    </row>
    <row r="55" spans="2:21" ht="15.75" x14ac:dyDescent="0.25">
      <c r="B55" s="174">
        <f t="shared" si="6"/>
        <v>4</v>
      </c>
      <c r="C55" s="15">
        <v>2</v>
      </c>
      <c r="D55" s="1270">
        <f t="shared" si="10"/>
        <v>20</v>
      </c>
      <c r="E55" s="1271">
        <v>45110</v>
      </c>
      <c r="F55" s="1270">
        <f t="shared" si="2"/>
        <v>20</v>
      </c>
      <c r="G55" s="1272" t="s">
        <v>495</v>
      </c>
      <c r="H55" s="1273">
        <v>48</v>
      </c>
      <c r="I55" s="230">
        <f t="shared" si="12"/>
        <v>40</v>
      </c>
      <c r="J55" s="59">
        <f t="shared" si="13"/>
        <v>960</v>
      </c>
      <c r="L55" s="594"/>
      <c r="M55" s="670">
        <f t="shared" si="8"/>
        <v>1375</v>
      </c>
      <c r="N55" s="624"/>
      <c r="O55" s="1432">
        <f t="shared" si="11"/>
        <v>0</v>
      </c>
      <c r="P55" s="1433"/>
      <c r="Q55" s="1432">
        <f t="shared" si="4"/>
        <v>0</v>
      </c>
      <c r="R55" s="1434"/>
      <c r="S55" s="1431"/>
      <c r="T55" s="230">
        <f t="shared" si="9"/>
        <v>13750</v>
      </c>
      <c r="U55" s="59">
        <f t="shared" si="5"/>
        <v>0</v>
      </c>
    </row>
    <row r="56" spans="2:21" ht="15.75" x14ac:dyDescent="0.25">
      <c r="B56" s="174">
        <f t="shared" si="6"/>
        <v>0</v>
      </c>
      <c r="C56" s="15">
        <v>4</v>
      </c>
      <c r="D56" s="1270">
        <f t="shared" si="10"/>
        <v>40</v>
      </c>
      <c r="E56" s="1271">
        <v>45114</v>
      </c>
      <c r="F56" s="1270">
        <f t="shared" si="2"/>
        <v>40</v>
      </c>
      <c r="G56" s="1272" t="s">
        <v>526</v>
      </c>
      <c r="H56" s="1273">
        <v>48</v>
      </c>
      <c r="I56" s="230">
        <f t="shared" si="12"/>
        <v>0</v>
      </c>
      <c r="J56" s="59">
        <f t="shared" si="13"/>
        <v>1920</v>
      </c>
      <c r="L56" s="594"/>
      <c r="M56" s="670">
        <f t="shared" si="8"/>
        <v>1375</v>
      </c>
      <c r="N56" s="624"/>
      <c r="O56" s="1432">
        <f t="shared" si="11"/>
        <v>0</v>
      </c>
      <c r="P56" s="1433"/>
      <c r="Q56" s="1432">
        <f t="shared" si="4"/>
        <v>0</v>
      </c>
      <c r="R56" s="1434"/>
      <c r="S56" s="1431"/>
      <c r="T56" s="230">
        <f t="shared" si="9"/>
        <v>13750</v>
      </c>
      <c r="U56" s="59">
        <f t="shared" si="5"/>
        <v>0</v>
      </c>
    </row>
    <row r="57" spans="2:21" ht="15.75" x14ac:dyDescent="0.25">
      <c r="B57" s="174">
        <f t="shared" si="6"/>
        <v>0</v>
      </c>
      <c r="C57" s="15"/>
      <c r="D57" s="1270">
        <f t="shared" si="10"/>
        <v>0</v>
      </c>
      <c r="E57" s="1271"/>
      <c r="F57" s="1270">
        <f t="shared" si="2"/>
        <v>0</v>
      </c>
      <c r="G57" s="1272"/>
      <c r="H57" s="1273"/>
      <c r="I57" s="230">
        <f t="shared" si="12"/>
        <v>0</v>
      </c>
      <c r="J57" s="59">
        <f t="shared" si="13"/>
        <v>0</v>
      </c>
      <c r="L57" s="594"/>
      <c r="M57" s="670">
        <f t="shared" si="8"/>
        <v>1375</v>
      </c>
      <c r="N57" s="624"/>
      <c r="O57" s="1432">
        <f t="shared" si="11"/>
        <v>0</v>
      </c>
      <c r="P57" s="1433"/>
      <c r="Q57" s="1432">
        <f t="shared" si="4"/>
        <v>0</v>
      </c>
      <c r="R57" s="1434"/>
      <c r="S57" s="1431"/>
      <c r="T57" s="230">
        <f t="shared" si="9"/>
        <v>13750</v>
      </c>
      <c r="U57" s="59">
        <f t="shared" si="5"/>
        <v>0</v>
      </c>
    </row>
    <row r="58" spans="2:21" ht="15.75" x14ac:dyDescent="0.25">
      <c r="B58" s="174">
        <f t="shared" si="6"/>
        <v>0</v>
      </c>
      <c r="C58" s="15"/>
      <c r="D58" s="1270">
        <f t="shared" si="10"/>
        <v>0</v>
      </c>
      <c r="E58" s="1271"/>
      <c r="F58" s="1270">
        <f t="shared" si="2"/>
        <v>0</v>
      </c>
      <c r="G58" s="1272"/>
      <c r="H58" s="1273"/>
      <c r="I58" s="230">
        <f t="shared" si="12"/>
        <v>0</v>
      </c>
      <c r="J58" s="59">
        <f t="shared" si="13"/>
        <v>0</v>
      </c>
      <c r="L58" s="594"/>
      <c r="M58" s="670">
        <f t="shared" si="8"/>
        <v>1375</v>
      </c>
      <c r="N58" s="624"/>
      <c r="O58" s="1432">
        <f t="shared" si="11"/>
        <v>0</v>
      </c>
      <c r="P58" s="1433"/>
      <c r="Q58" s="1432">
        <f t="shared" si="4"/>
        <v>0</v>
      </c>
      <c r="R58" s="1434"/>
      <c r="S58" s="1431"/>
      <c r="T58" s="230">
        <f t="shared" si="9"/>
        <v>13750</v>
      </c>
      <c r="U58" s="59">
        <f t="shared" si="5"/>
        <v>0</v>
      </c>
    </row>
    <row r="59" spans="2:21" ht="15.75" x14ac:dyDescent="0.25">
      <c r="B59" s="174">
        <f t="shared" si="6"/>
        <v>0</v>
      </c>
      <c r="C59" s="15"/>
      <c r="D59" s="1270">
        <f t="shared" si="10"/>
        <v>0</v>
      </c>
      <c r="E59" s="1271"/>
      <c r="F59" s="1270">
        <f t="shared" si="2"/>
        <v>0</v>
      </c>
      <c r="G59" s="1531"/>
      <c r="H59" s="1532"/>
      <c r="I59" s="1533">
        <f t="shared" si="12"/>
        <v>0</v>
      </c>
      <c r="J59" s="1490">
        <f t="shared" si="13"/>
        <v>0</v>
      </c>
      <c r="L59" s="594"/>
      <c r="M59" s="670">
        <f t="shared" si="8"/>
        <v>1375</v>
      </c>
      <c r="N59" s="624"/>
      <c r="O59" s="1432">
        <f t="shared" si="11"/>
        <v>0</v>
      </c>
      <c r="P59" s="1433"/>
      <c r="Q59" s="1432">
        <f t="shared" si="4"/>
        <v>0</v>
      </c>
      <c r="R59" s="1434"/>
      <c r="S59" s="1431"/>
      <c r="T59" s="230">
        <f t="shared" si="9"/>
        <v>13750</v>
      </c>
      <c r="U59" s="59">
        <f t="shared" si="5"/>
        <v>0</v>
      </c>
    </row>
    <row r="60" spans="2:21" ht="15.75" x14ac:dyDescent="0.25">
      <c r="B60" s="174">
        <f t="shared" si="6"/>
        <v>0</v>
      </c>
      <c r="C60" s="15"/>
      <c r="D60" s="1270">
        <f t="shared" si="10"/>
        <v>0</v>
      </c>
      <c r="E60" s="1271"/>
      <c r="F60" s="1270">
        <f t="shared" si="2"/>
        <v>0</v>
      </c>
      <c r="G60" s="1531"/>
      <c r="H60" s="1532"/>
      <c r="I60" s="1533">
        <f t="shared" si="12"/>
        <v>0</v>
      </c>
      <c r="J60" s="1490">
        <f t="shared" si="13"/>
        <v>0</v>
      </c>
      <c r="M60" s="174">
        <f t="shared" si="8"/>
        <v>1375</v>
      </c>
      <c r="N60" s="15"/>
      <c r="O60" s="1435">
        <f t="shared" si="11"/>
        <v>0</v>
      </c>
      <c r="P60" s="1436"/>
      <c r="Q60" s="1435">
        <f t="shared" si="4"/>
        <v>0</v>
      </c>
      <c r="R60" s="1437"/>
      <c r="S60" s="1273"/>
      <c r="T60" s="230">
        <f t="shared" si="9"/>
        <v>13750</v>
      </c>
      <c r="U60" s="59">
        <f t="shared" si="5"/>
        <v>0</v>
      </c>
    </row>
    <row r="61" spans="2:21" ht="15.75" x14ac:dyDescent="0.25">
      <c r="B61" s="174">
        <f t="shared" si="6"/>
        <v>0</v>
      </c>
      <c r="C61" s="15"/>
      <c r="D61" s="1270">
        <f t="shared" si="10"/>
        <v>0</v>
      </c>
      <c r="E61" s="1271"/>
      <c r="F61" s="1270">
        <f t="shared" si="2"/>
        <v>0</v>
      </c>
      <c r="G61" s="1531"/>
      <c r="H61" s="1532"/>
      <c r="I61" s="1533">
        <f t="shared" si="12"/>
        <v>0</v>
      </c>
      <c r="J61" s="1490">
        <f t="shared" si="13"/>
        <v>0</v>
      </c>
      <c r="M61" s="174">
        <f t="shared" si="8"/>
        <v>1375</v>
      </c>
      <c r="N61" s="15"/>
      <c r="O61" s="1435">
        <f t="shared" si="11"/>
        <v>0</v>
      </c>
      <c r="P61" s="1436"/>
      <c r="Q61" s="1435">
        <f t="shared" si="4"/>
        <v>0</v>
      </c>
      <c r="R61" s="1437"/>
      <c r="S61" s="1273"/>
      <c r="T61" s="230">
        <f t="shared" si="9"/>
        <v>13750</v>
      </c>
      <c r="U61" s="59">
        <f t="shared" si="5"/>
        <v>0</v>
      </c>
    </row>
    <row r="62" spans="2:21" ht="15.75" x14ac:dyDescent="0.25">
      <c r="B62" s="174">
        <f t="shared" si="6"/>
        <v>0</v>
      </c>
      <c r="C62" s="15"/>
      <c r="D62" s="1270">
        <f t="shared" si="10"/>
        <v>0</v>
      </c>
      <c r="E62" s="1271"/>
      <c r="F62" s="1270">
        <f t="shared" si="2"/>
        <v>0</v>
      </c>
      <c r="G62" s="1531"/>
      <c r="H62" s="1532"/>
      <c r="I62" s="1533">
        <f t="shared" si="12"/>
        <v>0</v>
      </c>
      <c r="J62" s="1490">
        <f t="shared" si="13"/>
        <v>0</v>
      </c>
      <c r="M62" s="174">
        <f t="shared" si="8"/>
        <v>1375</v>
      </c>
      <c r="N62" s="15"/>
      <c r="O62" s="1435">
        <f t="shared" si="11"/>
        <v>0</v>
      </c>
      <c r="P62" s="1436"/>
      <c r="Q62" s="1435">
        <f t="shared" si="4"/>
        <v>0</v>
      </c>
      <c r="R62" s="1437"/>
      <c r="S62" s="1273"/>
      <c r="T62" s="230">
        <f t="shared" si="9"/>
        <v>13750</v>
      </c>
      <c r="U62" s="59">
        <f t="shared" si="5"/>
        <v>0</v>
      </c>
    </row>
    <row r="63" spans="2:21" ht="15.75" x14ac:dyDescent="0.25">
      <c r="B63" s="174">
        <f t="shared" si="6"/>
        <v>0</v>
      </c>
      <c r="C63" s="15"/>
      <c r="D63" s="1270">
        <f t="shared" si="10"/>
        <v>0</v>
      </c>
      <c r="E63" s="1271"/>
      <c r="F63" s="1270">
        <f t="shared" si="2"/>
        <v>0</v>
      </c>
      <c r="G63" s="1272"/>
      <c r="H63" s="1273"/>
      <c r="I63" s="230">
        <f t="shared" si="12"/>
        <v>0</v>
      </c>
      <c r="J63" s="59">
        <f t="shared" si="13"/>
        <v>0</v>
      </c>
      <c r="M63" s="174">
        <f t="shared" si="8"/>
        <v>1375</v>
      </c>
      <c r="N63" s="15"/>
      <c r="O63" s="1435">
        <f t="shared" si="11"/>
        <v>0</v>
      </c>
      <c r="P63" s="1436"/>
      <c r="Q63" s="1435">
        <f t="shared" si="4"/>
        <v>0</v>
      </c>
      <c r="R63" s="1437"/>
      <c r="S63" s="1273"/>
      <c r="T63" s="230">
        <f t="shared" si="9"/>
        <v>13750</v>
      </c>
      <c r="U63" s="59">
        <f t="shared" si="5"/>
        <v>0</v>
      </c>
    </row>
    <row r="64" spans="2:21" ht="15.75" x14ac:dyDescent="0.25">
      <c r="B64" s="174">
        <f t="shared" si="6"/>
        <v>0</v>
      </c>
      <c r="C64" s="15"/>
      <c r="D64" s="1270">
        <f t="shared" si="10"/>
        <v>0</v>
      </c>
      <c r="E64" s="1271"/>
      <c r="F64" s="1270">
        <f t="shared" si="2"/>
        <v>0</v>
      </c>
      <c r="G64" s="1272"/>
      <c r="H64" s="1273"/>
      <c r="I64" s="230">
        <f t="shared" si="12"/>
        <v>0</v>
      </c>
      <c r="J64" s="59">
        <f t="shared" si="13"/>
        <v>0</v>
      </c>
      <c r="M64" s="174">
        <f t="shared" si="8"/>
        <v>1375</v>
      </c>
      <c r="N64" s="15"/>
      <c r="O64" s="1435">
        <f t="shared" si="11"/>
        <v>0</v>
      </c>
      <c r="P64" s="1436"/>
      <c r="Q64" s="1435">
        <f t="shared" si="4"/>
        <v>0</v>
      </c>
      <c r="R64" s="1437"/>
      <c r="S64" s="1273"/>
      <c r="T64" s="230">
        <f t="shared" si="9"/>
        <v>13750</v>
      </c>
      <c r="U64" s="59">
        <f t="shared" si="5"/>
        <v>0</v>
      </c>
    </row>
    <row r="65" spans="1:21" ht="15.75" x14ac:dyDescent="0.25">
      <c r="B65" s="174">
        <f t="shared" si="6"/>
        <v>0</v>
      </c>
      <c r="C65" s="15"/>
      <c r="D65" s="1270">
        <f t="shared" si="10"/>
        <v>0</v>
      </c>
      <c r="E65" s="1271"/>
      <c r="F65" s="1270">
        <f t="shared" si="2"/>
        <v>0</v>
      </c>
      <c r="G65" s="1272"/>
      <c r="H65" s="1273"/>
      <c r="I65" s="230">
        <f t="shared" si="12"/>
        <v>0</v>
      </c>
      <c r="J65" s="59">
        <f t="shared" si="13"/>
        <v>0</v>
      </c>
      <c r="M65" s="174">
        <f t="shared" si="8"/>
        <v>1375</v>
      </c>
      <c r="N65" s="15"/>
      <c r="O65" s="1435">
        <f t="shared" si="11"/>
        <v>0</v>
      </c>
      <c r="P65" s="1436"/>
      <c r="Q65" s="1435">
        <f t="shared" si="4"/>
        <v>0</v>
      </c>
      <c r="R65" s="1437"/>
      <c r="S65" s="1273"/>
      <c r="T65" s="230">
        <f t="shared" si="9"/>
        <v>13750</v>
      </c>
      <c r="U65" s="59">
        <f t="shared" si="5"/>
        <v>0</v>
      </c>
    </row>
    <row r="66" spans="1:21" ht="15.75" x14ac:dyDescent="0.25">
      <c r="B66" s="174">
        <f t="shared" si="6"/>
        <v>0</v>
      </c>
      <c r="C66" s="15"/>
      <c r="D66" s="1270">
        <f t="shared" si="10"/>
        <v>0</v>
      </c>
      <c r="E66" s="1271"/>
      <c r="F66" s="1270">
        <f t="shared" si="2"/>
        <v>0</v>
      </c>
      <c r="G66" s="1272"/>
      <c r="H66" s="1273"/>
      <c r="I66" s="230">
        <f t="shared" si="12"/>
        <v>0</v>
      </c>
      <c r="J66" s="59">
        <f t="shared" si="13"/>
        <v>0</v>
      </c>
      <c r="M66" s="174">
        <f t="shared" si="8"/>
        <v>1375</v>
      </c>
      <c r="N66" s="15"/>
      <c r="O66" s="1435">
        <f t="shared" si="11"/>
        <v>0</v>
      </c>
      <c r="P66" s="1436"/>
      <c r="Q66" s="1435">
        <f t="shared" si="4"/>
        <v>0</v>
      </c>
      <c r="R66" s="1437"/>
      <c r="S66" s="1273"/>
      <c r="T66" s="230">
        <f t="shared" si="9"/>
        <v>13750</v>
      </c>
      <c r="U66" s="59">
        <f t="shared" si="5"/>
        <v>0</v>
      </c>
    </row>
    <row r="67" spans="1:21" x14ac:dyDescent="0.25">
      <c r="B67" s="174">
        <f t="shared" si="6"/>
        <v>0</v>
      </c>
      <c r="C67" s="15"/>
      <c r="D67" s="1274">
        <f t="shared" si="10"/>
        <v>0</v>
      </c>
      <c r="E67" s="1275"/>
      <c r="F67" s="1274">
        <f t="shared" si="2"/>
        <v>0</v>
      </c>
      <c r="G67" s="1276"/>
      <c r="H67" s="194"/>
      <c r="I67" s="230">
        <f t="shared" si="12"/>
        <v>0</v>
      </c>
      <c r="J67" s="59">
        <f t="shared" si="13"/>
        <v>0</v>
      </c>
      <c r="M67" s="174">
        <f t="shared" si="8"/>
        <v>1375</v>
      </c>
      <c r="N67" s="15"/>
      <c r="O67" s="91">
        <f t="shared" si="11"/>
        <v>0</v>
      </c>
      <c r="P67" s="555"/>
      <c r="Q67" s="91">
        <f t="shared" si="4"/>
        <v>0</v>
      </c>
      <c r="R67" s="69"/>
      <c r="S67" s="194"/>
      <c r="T67" s="230">
        <f t="shared" si="9"/>
        <v>13750</v>
      </c>
      <c r="U67" s="59">
        <f t="shared" si="5"/>
        <v>0</v>
      </c>
    </row>
    <row r="68" spans="1:21" x14ac:dyDescent="0.25">
      <c r="B68" s="174"/>
      <c r="C68" s="15"/>
      <c r="D68" s="1274">
        <f t="shared" si="10"/>
        <v>0</v>
      </c>
      <c r="E68" s="1275"/>
      <c r="F68" s="1274">
        <f t="shared" si="2"/>
        <v>0</v>
      </c>
      <c r="G68" s="1276"/>
      <c r="H68" s="194"/>
      <c r="I68" s="230">
        <f t="shared" si="12"/>
        <v>0</v>
      </c>
      <c r="J68" s="59">
        <f t="shared" si="13"/>
        <v>0</v>
      </c>
      <c r="M68" s="174"/>
      <c r="N68" s="15"/>
      <c r="O68" s="91">
        <f t="shared" si="11"/>
        <v>0</v>
      </c>
      <c r="P68" s="555"/>
      <c r="Q68" s="91">
        <f t="shared" si="4"/>
        <v>0</v>
      </c>
      <c r="R68" s="69"/>
      <c r="S68" s="194"/>
      <c r="T68" s="230">
        <f t="shared" si="9"/>
        <v>13750</v>
      </c>
      <c r="U68" s="59">
        <f t="shared" si="5"/>
        <v>0</v>
      </c>
    </row>
    <row r="69" spans="1:21" x14ac:dyDescent="0.25">
      <c r="B69" s="174"/>
      <c r="C69" s="15"/>
      <c r="D69" s="526"/>
      <c r="E69" s="1083"/>
      <c r="F69" s="526"/>
      <c r="G69" s="524"/>
      <c r="H69" s="358"/>
      <c r="I69" s="230">
        <f t="shared" si="12"/>
        <v>0</v>
      </c>
      <c r="J69" s="59">
        <f t="shared" si="13"/>
        <v>0</v>
      </c>
      <c r="M69" s="174"/>
      <c r="N69" s="15"/>
      <c r="O69" s="91"/>
      <c r="P69" s="555"/>
      <c r="Q69" s="91"/>
      <c r="R69" s="69"/>
      <c r="S69" s="358"/>
      <c r="T69" s="230">
        <f t="shared" si="9"/>
        <v>13750</v>
      </c>
      <c r="U69" s="59">
        <f t="shared" si="5"/>
        <v>0</v>
      </c>
    </row>
    <row r="70" spans="1:21" x14ac:dyDescent="0.25">
      <c r="B70" s="174"/>
      <c r="C70" s="15"/>
      <c r="D70" s="526"/>
      <c r="E70" s="1083"/>
      <c r="F70" s="526"/>
      <c r="G70" s="524"/>
      <c r="H70" s="358"/>
      <c r="I70" s="230">
        <f t="shared" si="12"/>
        <v>0</v>
      </c>
      <c r="J70" s="59">
        <f t="shared" si="13"/>
        <v>0</v>
      </c>
      <c r="M70" s="174"/>
      <c r="N70" s="15"/>
      <c r="O70" s="91"/>
      <c r="P70" s="555"/>
      <c r="Q70" s="91"/>
      <c r="R70" s="69"/>
      <c r="S70" s="358"/>
      <c r="T70" s="230">
        <f t="shared" si="9"/>
        <v>13750</v>
      </c>
      <c r="U70" s="59">
        <f t="shared" si="5"/>
        <v>0</v>
      </c>
    </row>
    <row r="71" spans="1:21" x14ac:dyDescent="0.25">
      <c r="B71" s="174"/>
      <c r="C71" s="15"/>
      <c r="D71" s="526"/>
      <c r="E71" s="1083"/>
      <c r="F71" s="526"/>
      <c r="G71" s="524"/>
      <c r="H71" s="358"/>
      <c r="I71" s="230"/>
      <c r="J71" s="59"/>
      <c r="M71" s="174"/>
      <c r="N71" s="15"/>
      <c r="O71" s="91"/>
      <c r="P71" s="555"/>
      <c r="Q71" s="91"/>
      <c r="R71" s="69"/>
      <c r="S71" s="358"/>
      <c r="T71" s="230"/>
      <c r="U71" s="59"/>
    </row>
    <row r="72" spans="1:21" x14ac:dyDescent="0.25">
      <c r="B72" s="174"/>
      <c r="C72" s="15"/>
      <c r="D72" s="526"/>
      <c r="E72" s="1083"/>
      <c r="F72" s="526"/>
      <c r="G72" s="524"/>
      <c r="H72" s="358"/>
      <c r="I72" s="230"/>
      <c r="J72" s="59"/>
      <c r="M72" s="174"/>
      <c r="N72" s="15"/>
      <c r="O72" s="91"/>
      <c r="P72" s="555"/>
      <c r="Q72" s="91"/>
      <c r="R72" s="69"/>
      <c r="S72" s="358"/>
      <c r="T72" s="230"/>
      <c r="U72" s="59"/>
    </row>
    <row r="73" spans="1:21" x14ac:dyDescent="0.25">
      <c r="B73" s="174"/>
      <c r="C73" s="15"/>
      <c r="D73" s="526"/>
      <c r="E73" s="1083"/>
      <c r="F73" s="526"/>
      <c r="G73" s="524"/>
      <c r="H73" s="358"/>
      <c r="I73" s="230"/>
      <c r="J73" s="59"/>
      <c r="M73" s="174"/>
      <c r="N73" s="15"/>
      <c r="O73" s="91"/>
      <c r="P73" s="555"/>
      <c r="Q73" s="91"/>
      <c r="R73" s="69"/>
      <c r="S73" s="358"/>
      <c r="T73" s="230"/>
      <c r="U73" s="59"/>
    </row>
    <row r="74" spans="1:21" x14ac:dyDescent="0.25">
      <c r="B74" s="174"/>
      <c r="C74" s="15"/>
      <c r="D74" s="526"/>
      <c r="E74" s="1083"/>
      <c r="F74" s="526"/>
      <c r="G74" s="524"/>
      <c r="H74" s="358"/>
      <c r="I74" s="230"/>
      <c r="J74" s="59"/>
      <c r="M74" s="174"/>
      <c r="N74" s="15"/>
      <c r="O74" s="91"/>
      <c r="P74" s="555"/>
      <c r="Q74" s="91"/>
      <c r="R74" s="69"/>
      <c r="S74" s="358"/>
      <c r="T74" s="230"/>
      <c r="U74" s="59"/>
    </row>
    <row r="75" spans="1:21" ht="15.75" thickBot="1" x14ac:dyDescent="0.3">
      <c r="A75" s="117"/>
      <c r="B75" s="174">
        <f>B28-C75</f>
        <v>237</v>
      </c>
      <c r="C75" s="37"/>
      <c r="D75" s="489">
        <v>0</v>
      </c>
      <c r="E75" s="990"/>
      <c r="F75" s="91">
        <f t="shared" si="2"/>
        <v>0</v>
      </c>
      <c r="G75" s="135"/>
      <c r="H75" s="189"/>
      <c r="I75" s="148"/>
      <c r="J75" s="59">
        <f>SUM(J9:J28)</f>
        <v>111100</v>
      </c>
      <c r="L75" s="117"/>
      <c r="M75" s="174">
        <f>M28-N75</f>
        <v>1375</v>
      </c>
      <c r="N75" s="37"/>
      <c r="O75" s="489">
        <v>0</v>
      </c>
      <c r="P75" s="990"/>
      <c r="Q75" s="91">
        <f t="shared" ref="Q75" si="14">O75</f>
        <v>0</v>
      </c>
      <c r="R75" s="135"/>
      <c r="S75" s="189"/>
      <c r="T75" s="148"/>
      <c r="U75" s="59">
        <f>SUM(U9:U28)</f>
        <v>27950</v>
      </c>
    </row>
    <row r="76" spans="1:21" ht="15.75" thickTop="1" x14ac:dyDescent="0.25">
      <c r="A76" s="47">
        <f>SUM(A75:A75)</f>
        <v>0</v>
      </c>
      <c r="C76" s="72"/>
      <c r="D76" s="102">
        <f>SUM(D9:D75)</f>
        <v>4820</v>
      </c>
      <c r="E76" s="130"/>
      <c r="F76" s="102">
        <f>SUM(F9:F75)</f>
        <v>4820</v>
      </c>
      <c r="G76" s="148"/>
      <c r="H76" s="148"/>
      <c r="L76" s="47">
        <f>SUM(L75:L75)</f>
        <v>0</v>
      </c>
      <c r="N76" s="1425"/>
      <c r="O76" s="102">
        <f>SUM(O9:O75)</f>
        <v>650</v>
      </c>
      <c r="P76" s="130"/>
      <c r="Q76" s="102">
        <f>SUM(Q9:Q75)</f>
        <v>650</v>
      </c>
      <c r="R76" s="148"/>
      <c r="S76" s="148"/>
    </row>
    <row r="77" spans="1:21" ht="15.75" thickBot="1" x14ac:dyDescent="0.3">
      <c r="A77" s="47"/>
      <c r="L77" s="47"/>
    </row>
    <row r="78" spans="1:21" x14ac:dyDescent="0.25">
      <c r="B78" s="176"/>
      <c r="D78" s="1655" t="s">
        <v>21</v>
      </c>
      <c r="E78" s="1656"/>
      <c r="F78" s="137">
        <f>G5-F76</f>
        <v>0</v>
      </c>
      <c r="M78" s="176"/>
      <c r="O78" s="1655" t="s">
        <v>21</v>
      </c>
      <c r="P78" s="1656"/>
      <c r="Q78" s="137">
        <f>R5-Q76</f>
        <v>0</v>
      </c>
    </row>
    <row r="79" spans="1:21" ht="15.75" thickBot="1" x14ac:dyDescent="0.3">
      <c r="A79" s="121"/>
      <c r="D79" s="980" t="s">
        <v>4</v>
      </c>
      <c r="E79" s="981"/>
      <c r="F79" s="49">
        <v>0</v>
      </c>
      <c r="L79" s="121"/>
      <c r="O79" s="1423" t="s">
        <v>4</v>
      </c>
      <c r="P79" s="1424"/>
      <c r="Q79" s="49">
        <v>0</v>
      </c>
    </row>
    <row r="80" spans="1:21" x14ac:dyDescent="0.25">
      <c r="B80" s="176"/>
      <c r="M80" s="176"/>
    </row>
  </sheetData>
  <mergeCells count="8">
    <mergeCell ref="A1:G1"/>
    <mergeCell ref="A5:A6"/>
    <mergeCell ref="D78:E78"/>
    <mergeCell ref="B5:B7"/>
    <mergeCell ref="L1:R1"/>
    <mergeCell ref="L5:L6"/>
    <mergeCell ref="M5:M7"/>
    <mergeCell ref="O78:P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27" activePane="bottomLeft" state="frozen"/>
      <selection pane="bottomLeft" activeCell="I33" sqref="I3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94" t="s">
        <v>315</v>
      </c>
      <c r="B1" s="1694"/>
      <c r="C1" s="1694"/>
      <c r="D1" s="1694"/>
      <c r="E1" s="1694"/>
      <c r="F1" s="1694"/>
      <c r="G1" s="1694"/>
      <c r="H1" s="254">
        <v>1</v>
      </c>
      <c r="I1" s="364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0" ht="26.25" customHeight="1" thickTop="1" thickBot="1" x14ac:dyDescent="0.3">
      <c r="A3" s="71"/>
      <c r="B3" s="456" t="s">
        <v>1</v>
      </c>
      <c r="C3" s="71"/>
      <c r="D3" s="71"/>
      <c r="E3" s="71"/>
      <c r="F3" s="71"/>
      <c r="G3" s="264" t="s">
        <v>20</v>
      </c>
      <c r="H3" s="263" t="s">
        <v>6</v>
      </c>
      <c r="I3" s="365"/>
    </row>
    <row r="4" spans="1:10" ht="15.75" customHeight="1" thickTop="1" x14ac:dyDescent="0.25">
      <c r="A4" s="74"/>
      <c r="B4" s="1695" t="s">
        <v>104</v>
      </c>
      <c r="C4" s="230"/>
      <c r="D4" s="130"/>
      <c r="E4" s="357">
        <v>30</v>
      </c>
      <c r="F4" s="72">
        <v>3</v>
      </c>
      <c r="G4" s="966"/>
      <c r="H4" s="144"/>
      <c r="I4" s="369"/>
    </row>
    <row r="5" spans="1:10" ht="14.25" customHeight="1" x14ac:dyDescent="0.25">
      <c r="A5" s="1667" t="s">
        <v>97</v>
      </c>
      <c r="B5" s="1695"/>
      <c r="C5" s="362">
        <v>450</v>
      </c>
      <c r="D5" s="130">
        <v>45044</v>
      </c>
      <c r="E5" s="85">
        <v>4800</v>
      </c>
      <c r="F5" s="72">
        <v>480</v>
      </c>
      <c r="G5" s="48">
        <f>F50</f>
        <v>2030</v>
      </c>
      <c r="H5" s="134">
        <f>E5-G5+E4+E6+E7</f>
        <v>2800</v>
      </c>
      <c r="I5" s="366"/>
    </row>
    <row r="6" spans="1:10" x14ac:dyDescent="0.25">
      <c r="A6" s="1667"/>
      <c r="B6" s="1695"/>
      <c r="C6" s="363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95"/>
      <c r="C7" s="363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7"/>
    </row>
    <row r="9" spans="1:10" ht="15.75" thickTop="1" x14ac:dyDescent="0.25">
      <c r="A9" s="60"/>
      <c r="B9" s="174">
        <f>F4+F5+F6-C9+F7</f>
        <v>483</v>
      </c>
      <c r="C9" s="624"/>
      <c r="D9" s="565">
        <f>C9*10</f>
        <v>0</v>
      </c>
      <c r="E9" s="646"/>
      <c r="F9" s="562">
        <f>D9</f>
        <v>0</v>
      </c>
      <c r="G9" s="563"/>
      <c r="H9" s="56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135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138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139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140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141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145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147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81"/>
      <c r="B17" s="628">
        <f t="shared" si="2"/>
        <v>352</v>
      </c>
      <c r="C17" s="992">
        <v>100</v>
      </c>
      <c r="D17" s="523">
        <f t="shared" si="3"/>
        <v>1000</v>
      </c>
      <c r="E17" s="646">
        <v>45054</v>
      </c>
      <c r="F17" s="562">
        <f t="shared" si="0"/>
        <v>1000</v>
      </c>
      <c r="G17" s="563" t="s">
        <v>151</v>
      </c>
      <c r="H17" s="520">
        <v>41.5</v>
      </c>
      <c r="I17" s="929">
        <f t="shared" si="4"/>
        <v>3520</v>
      </c>
      <c r="J17" s="595">
        <f t="shared" si="1"/>
        <v>41500</v>
      </c>
    </row>
    <row r="18" spans="1:10" x14ac:dyDescent="0.25">
      <c r="A18" s="581"/>
      <c r="B18" s="670">
        <f t="shared" si="2"/>
        <v>352</v>
      </c>
      <c r="C18" s="624"/>
      <c r="D18" s="68">
        <f t="shared" si="3"/>
        <v>0</v>
      </c>
      <c r="E18" s="646"/>
      <c r="F18" s="562">
        <f t="shared" si="0"/>
        <v>0</v>
      </c>
      <c r="G18" s="563"/>
      <c r="H18" s="564"/>
      <c r="I18" s="230">
        <f t="shared" si="4"/>
        <v>3520</v>
      </c>
      <c r="J18" s="595">
        <f t="shared" si="1"/>
        <v>0</v>
      </c>
    </row>
    <row r="19" spans="1:10" x14ac:dyDescent="0.25">
      <c r="A19" s="581"/>
      <c r="B19" s="670">
        <f t="shared" si="2"/>
        <v>347</v>
      </c>
      <c r="C19" s="624">
        <v>5</v>
      </c>
      <c r="D19" s="801">
        <f t="shared" si="3"/>
        <v>50</v>
      </c>
      <c r="E19" s="1053">
        <v>45059</v>
      </c>
      <c r="F19" s="705">
        <f t="shared" si="0"/>
        <v>50</v>
      </c>
      <c r="G19" s="803" t="s">
        <v>163</v>
      </c>
      <c r="H19" s="804">
        <v>52</v>
      </c>
      <c r="I19" s="230">
        <f t="shared" si="4"/>
        <v>3470</v>
      </c>
      <c r="J19" s="595">
        <f t="shared" si="1"/>
        <v>2600</v>
      </c>
    </row>
    <row r="20" spans="1:10" x14ac:dyDescent="0.25">
      <c r="A20" s="581"/>
      <c r="B20" s="670">
        <f t="shared" si="2"/>
        <v>342</v>
      </c>
      <c r="C20" s="624">
        <v>5</v>
      </c>
      <c r="D20" s="801">
        <f t="shared" si="3"/>
        <v>50</v>
      </c>
      <c r="E20" s="1053">
        <v>45061</v>
      </c>
      <c r="F20" s="705">
        <f t="shared" si="0"/>
        <v>50</v>
      </c>
      <c r="G20" s="803" t="s">
        <v>164</v>
      </c>
      <c r="H20" s="804">
        <v>52</v>
      </c>
      <c r="I20" s="230">
        <f t="shared" si="4"/>
        <v>3420</v>
      </c>
      <c r="J20" s="595">
        <f t="shared" si="1"/>
        <v>2600</v>
      </c>
    </row>
    <row r="21" spans="1:10" x14ac:dyDescent="0.25">
      <c r="A21" s="581"/>
      <c r="B21" s="670">
        <f t="shared" si="2"/>
        <v>337</v>
      </c>
      <c r="C21" s="624">
        <v>5</v>
      </c>
      <c r="D21" s="801">
        <f t="shared" si="3"/>
        <v>50</v>
      </c>
      <c r="E21" s="1053">
        <v>45073</v>
      </c>
      <c r="F21" s="705">
        <f t="shared" si="0"/>
        <v>50</v>
      </c>
      <c r="G21" s="803" t="s">
        <v>182</v>
      </c>
      <c r="H21" s="804">
        <v>52</v>
      </c>
      <c r="I21" s="230">
        <f t="shared" si="4"/>
        <v>3370</v>
      </c>
      <c r="J21" s="595">
        <f t="shared" si="1"/>
        <v>2600</v>
      </c>
    </row>
    <row r="22" spans="1:10" x14ac:dyDescent="0.25">
      <c r="A22" s="581"/>
      <c r="B22" s="670">
        <f t="shared" si="2"/>
        <v>332</v>
      </c>
      <c r="C22" s="624">
        <v>5</v>
      </c>
      <c r="D22" s="801">
        <f t="shared" si="3"/>
        <v>50</v>
      </c>
      <c r="E22" s="1053">
        <v>45075</v>
      </c>
      <c r="F22" s="705">
        <f t="shared" si="0"/>
        <v>50</v>
      </c>
      <c r="G22" s="803" t="s">
        <v>176</v>
      </c>
      <c r="H22" s="804">
        <v>52</v>
      </c>
      <c r="I22" s="230">
        <f t="shared" si="4"/>
        <v>3320</v>
      </c>
      <c r="J22" s="595">
        <f t="shared" si="1"/>
        <v>2600</v>
      </c>
    </row>
    <row r="23" spans="1:10" x14ac:dyDescent="0.25">
      <c r="A23" s="973"/>
      <c r="B23" s="628">
        <f t="shared" si="2"/>
        <v>329</v>
      </c>
      <c r="C23" s="576">
        <v>3</v>
      </c>
      <c r="D23" s="801">
        <f t="shared" si="3"/>
        <v>30</v>
      </c>
      <c r="E23" s="1047">
        <v>45082</v>
      </c>
      <c r="F23" s="705">
        <f t="shared" si="0"/>
        <v>30</v>
      </c>
      <c r="G23" s="803" t="s">
        <v>196</v>
      </c>
      <c r="H23" s="804">
        <v>52</v>
      </c>
      <c r="I23" s="929">
        <f t="shared" si="4"/>
        <v>3290</v>
      </c>
      <c r="J23" s="595">
        <f t="shared" si="1"/>
        <v>1560</v>
      </c>
    </row>
    <row r="24" spans="1:10" s="594" customFormat="1" x14ac:dyDescent="0.25">
      <c r="A24" s="973"/>
      <c r="B24" s="670">
        <f t="shared" si="2"/>
        <v>329</v>
      </c>
      <c r="C24" s="576"/>
      <c r="D24" s="801">
        <f t="shared" si="3"/>
        <v>0</v>
      </c>
      <c r="E24" s="1047"/>
      <c r="F24" s="705">
        <f t="shared" si="0"/>
        <v>0</v>
      </c>
      <c r="G24" s="803"/>
      <c r="H24" s="804"/>
      <c r="I24" s="230">
        <f t="shared" si="4"/>
        <v>3290</v>
      </c>
      <c r="J24" s="595">
        <f t="shared" si="1"/>
        <v>0</v>
      </c>
    </row>
    <row r="25" spans="1:10" s="594" customFormat="1" x14ac:dyDescent="0.25">
      <c r="A25" s="973"/>
      <c r="B25" s="670">
        <f t="shared" si="2"/>
        <v>321</v>
      </c>
      <c r="C25" s="576">
        <v>8</v>
      </c>
      <c r="D25" s="482">
        <f t="shared" si="3"/>
        <v>80</v>
      </c>
      <c r="E25" s="969">
        <v>45087</v>
      </c>
      <c r="F25" s="707">
        <f t="shared" si="0"/>
        <v>80</v>
      </c>
      <c r="G25" s="709" t="s">
        <v>210</v>
      </c>
      <c r="H25" s="710">
        <v>52</v>
      </c>
      <c r="I25" s="230">
        <f t="shared" si="4"/>
        <v>3210</v>
      </c>
      <c r="J25" s="595">
        <f t="shared" si="1"/>
        <v>4160</v>
      </c>
    </row>
    <row r="26" spans="1:10" s="594" customFormat="1" x14ac:dyDescent="0.25">
      <c r="A26" s="973"/>
      <c r="B26" s="670">
        <f t="shared" si="2"/>
        <v>319</v>
      </c>
      <c r="C26" s="576">
        <v>2</v>
      </c>
      <c r="D26" s="482">
        <f t="shared" si="3"/>
        <v>20</v>
      </c>
      <c r="E26" s="969">
        <v>45094</v>
      </c>
      <c r="F26" s="707">
        <f t="shared" si="0"/>
        <v>20</v>
      </c>
      <c r="G26" s="709" t="s">
        <v>238</v>
      </c>
      <c r="H26" s="710">
        <v>52</v>
      </c>
      <c r="I26" s="230">
        <f t="shared" si="4"/>
        <v>3190</v>
      </c>
      <c r="J26" s="595">
        <f t="shared" si="1"/>
        <v>1040</v>
      </c>
    </row>
    <row r="27" spans="1:10" s="594" customFormat="1" x14ac:dyDescent="0.25">
      <c r="A27" s="973"/>
      <c r="B27" s="670">
        <f t="shared" si="2"/>
        <v>317</v>
      </c>
      <c r="C27" s="576">
        <v>2</v>
      </c>
      <c r="D27" s="482">
        <f t="shared" si="3"/>
        <v>20</v>
      </c>
      <c r="E27" s="969">
        <v>45099</v>
      </c>
      <c r="F27" s="707">
        <f t="shared" si="0"/>
        <v>20</v>
      </c>
      <c r="G27" s="709" t="s">
        <v>251</v>
      </c>
      <c r="H27" s="710">
        <v>52</v>
      </c>
      <c r="I27" s="230">
        <f t="shared" si="4"/>
        <v>3170</v>
      </c>
      <c r="J27" s="595">
        <f t="shared" si="1"/>
        <v>1040</v>
      </c>
    </row>
    <row r="28" spans="1:10" s="594" customFormat="1" x14ac:dyDescent="0.25">
      <c r="A28" s="973"/>
      <c r="B28" s="628">
        <f t="shared" si="2"/>
        <v>312</v>
      </c>
      <c r="C28" s="576">
        <v>5</v>
      </c>
      <c r="D28" s="482">
        <f t="shared" si="3"/>
        <v>50</v>
      </c>
      <c r="E28" s="969">
        <v>45108</v>
      </c>
      <c r="F28" s="707">
        <f t="shared" si="0"/>
        <v>50</v>
      </c>
      <c r="G28" s="709" t="s">
        <v>297</v>
      </c>
      <c r="H28" s="710">
        <v>52</v>
      </c>
      <c r="I28" s="929">
        <f t="shared" si="4"/>
        <v>3120</v>
      </c>
      <c r="J28" s="595">
        <f t="shared" si="1"/>
        <v>2600</v>
      </c>
    </row>
    <row r="29" spans="1:10" s="594" customFormat="1" x14ac:dyDescent="0.25">
      <c r="A29" s="973"/>
      <c r="B29" s="670">
        <f t="shared" si="2"/>
        <v>312</v>
      </c>
      <c r="C29" s="576"/>
      <c r="D29" s="482">
        <f t="shared" si="3"/>
        <v>0</v>
      </c>
      <c r="E29" s="969"/>
      <c r="F29" s="707">
        <f t="shared" si="0"/>
        <v>0</v>
      </c>
      <c r="G29" s="709"/>
      <c r="H29" s="710"/>
      <c r="I29" s="230">
        <f t="shared" si="4"/>
        <v>3120</v>
      </c>
      <c r="J29" s="595">
        <f t="shared" si="1"/>
        <v>0</v>
      </c>
    </row>
    <row r="30" spans="1:10" s="594" customFormat="1" x14ac:dyDescent="0.25">
      <c r="A30" s="973"/>
      <c r="B30" s="670">
        <f t="shared" si="2"/>
        <v>309</v>
      </c>
      <c r="C30" s="576">
        <v>3</v>
      </c>
      <c r="D30" s="1277">
        <f t="shared" si="3"/>
        <v>30</v>
      </c>
      <c r="E30" s="1278">
        <v>45110</v>
      </c>
      <c r="F30" s="706">
        <f t="shared" si="0"/>
        <v>30</v>
      </c>
      <c r="G30" s="751" t="s">
        <v>497</v>
      </c>
      <c r="H30" s="593">
        <v>51.5</v>
      </c>
      <c r="I30" s="230">
        <f t="shared" si="4"/>
        <v>3090</v>
      </c>
      <c r="J30" s="595">
        <f t="shared" si="1"/>
        <v>1545</v>
      </c>
    </row>
    <row r="31" spans="1:10" s="594" customFormat="1" x14ac:dyDescent="0.25">
      <c r="A31" s="973"/>
      <c r="B31" s="670">
        <f t="shared" si="2"/>
        <v>307</v>
      </c>
      <c r="C31" s="576">
        <v>2</v>
      </c>
      <c r="D31" s="1277">
        <f t="shared" si="3"/>
        <v>20</v>
      </c>
      <c r="E31" s="1278">
        <v>45115</v>
      </c>
      <c r="F31" s="706">
        <f t="shared" si="0"/>
        <v>20</v>
      </c>
      <c r="G31" s="751" t="s">
        <v>544</v>
      </c>
      <c r="H31" s="593">
        <v>52</v>
      </c>
      <c r="I31" s="230">
        <f t="shared" si="4"/>
        <v>3070</v>
      </c>
      <c r="J31" s="595">
        <f t="shared" si="1"/>
        <v>1040</v>
      </c>
    </row>
    <row r="32" spans="1:10" s="594" customFormat="1" x14ac:dyDescent="0.25">
      <c r="A32" s="973"/>
      <c r="B32" s="670">
        <f t="shared" si="2"/>
        <v>305</v>
      </c>
      <c r="C32" s="576">
        <v>2</v>
      </c>
      <c r="D32" s="1277">
        <f t="shared" si="3"/>
        <v>20</v>
      </c>
      <c r="E32" s="1278">
        <v>45118</v>
      </c>
      <c r="F32" s="706">
        <f t="shared" si="0"/>
        <v>20</v>
      </c>
      <c r="G32" s="751" t="s">
        <v>563</v>
      </c>
      <c r="H32" s="593">
        <v>52</v>
      </c>
      <c r="I32" s="230">
        <f t="shared" si="4"/>
        <v>3050</v>
      </c>
      <c r="J32" s="595">
        <f t="shared" si="1"/>
        <v>1040</v>
      </c>
    </row>
    <row r="33" spans="1:10" s="594" customFormat="1" x14ac:dyDescent="0.25">
      <c r="A33" s="973"/>
      <c r="B33" s="670">
        <f t="shared" si="2"/>
        <v>305</v>
      </c>
      <c r="C33" s="576"/>
      <c r="D33" s="1277">
        <f t="shared" si="3"/>
        <v>0</v>
      </c>
      <c r="E33" s="1278"/>
      <c r="F33" s="706">
        <f t="shared" si="0"/>
        <v>0</v>
      </c>
      <c r="G33" s="751"/>
      <c r="H33" s="593"/>
      <c r="I33" s="230">
        <f t="shared" si="4"/>
        <v>3050</v>
      </c>
      <c r="J33" s="595">
        <f t="shared" si="1"/>
        <v>0</v>
      </c>
    </row>
    <row r="34" spans="1:10" s="594" customFormat="1" x14ac:dyDescent="0.25">
      <c r="A34" s="973"/>
      <c r="B34" s="670">
        <f t="shared" si="2"/>
        <v>303</v>
      </c>
      <c r="C34" s="576">
        <v>2</v>
      </c>
      <c r="D34" s="1277">
        <f t="shared" si="3"/>
        <v>20</v>
      </c>
      <c r="E34" s="1278">
        <v>45129</v>
      </c>
      <c r="F34" s="706">
        <f t="shared" si="0"/>
        <v>20</v>
      </c>
      <c r="G34" s="751" t="s">
        <v>671</v>
      </c>
      <c r="H34" s="593">
        <v>52</v>
      </c>
      <c r="I34" s="230">
        <f t="shared" si="4"/>
        <v>3030</v>
      </c>
      <c r="J34" s="595">
        <f t="shared" si="1"/>
        <v>1040</v>
      </c>
    </row>
    <row r="35" spans="1:10" s="594" customFormat="1" x14ac:dyDescent="0.25">
      <c r="A35" s="973"/>
      <c r="B35" s="670">
        <f t="shared" si="2"/>
        <v>300</v>
      </c>
      <c r="C35" s="576">
        <v>3</v>
      </c>
      <c r="D35" s="1277">
        <f t="shared" si="3"/>
        <v>30</v>
      </c>
      <c r="E35" s="1278">
        <v>45132</v>
      </c>
      <c r="F35" s="706">
        <f t="shared" si="0"/>
        <v>30</v>
      </c>
      <c r="G35" s="751" t="s">
        <v>685</v>
      </c>
      <c r="H35" s="593">
        <v>52</v>
      </c>
      <c r="I35" s="230">
        <f t="shared" si="4"/>
        <v>3000</v>
      </c>
      <c r="J35" s="595">
        <f t="shared" si="1"/>
        <v>1560</v>
      </c>
    </row>
    <row r="36" spans="1:10" s="594" customFormat="1" x14ac:dyDescent="0.25">
      <c r="A36" s="973"/>
      <c r="B36" s="670">
        <f t="shared" si="2"/>
        <v>290</v>
      </c>
      <c r="C36" s="576">
        <v>10</v>
      </c>
      <c r="D36" s="1277">
        <f t="shared" si="3"/>
        <v>100</v>
      </c>
      <c r="E36" s="1278">
        <v>45134</v>
      </c>
      <c r="F36" s="706">
        <f t="shared" si="0"/>
        <v>100</v>
      </c>
      <c r="G36" s="751" t="s">
        <v>708</v>
      </c>
      <c r="H36" s="593">
        <v>52</v>
      </c>
      <c r="I36" s="230">
        <f t="shared" si="4"/>
        <v>2900</v>
      </c>
      <c r="J36" s="595">
        <f t="shared" si="1"/>
        <v>5200</v>
      </c>
    </row>
    <row r="37" spans="1:10" s="594" customFormat="1" x14ac:dyDescent="0.25">
      <c r="A37" s="973"/>
      <c r="B37" s="670">
        <f t="shared" si="2"/>
        <v>280</v>
      </c>
      <c r="C37" s="576">
        <v>10</v>
      </c>
      <c r="D37" s="1277">
        <f t="shared" si="3"/>
        <v>100</v>
      </c>
      <c r="E37" s="1278">
        <v>45135</v>
      </c>
      <c r="F37" s="706">
        <f t="shared" si="0"/>
        <v>100</v>
      </c>
      <c r="G37" s="751" t="s">
        <v>717</v>
      </c>
      <c r="H37" s="593">
        <v>52</v>
      </c>
      <c r="I37" s="230">
        <f t="shared" si="4"/>
        <v>2800</v>
      </c>
      <c r="J37" s="595">
        <f t="shared" si="1"/>
        <v>5200</v>
      </c>
    </row>
    <row r="38" spans="1:10" s="594" customFormat="1" x14ac:dyDescent="0.25">
      <c r="A38" s="973"/>
      <c r="B38" s="670">
        <f t="shared" si="2"/>
        <v>280</v>
      </c>
      <c r="C38" s="576"/>
      <c r="D38" s="1277">
        <f t="shared" si="3"/>
        <v>0</v>
      </c>
      <c r="E38" s="1278"/>
      <c r="F38" s="706">
        <f t="shared" si="0"/>
        <v>0</v>
      </c>
      <c r="G38" s="751"/>
      <c r="H38" s="593"/>
      <c r="I38" s="230">
        <f t="shared" si="4"/>
        <v>2800</v>
      </c>
      <c r="J38" s="595">
        <f t="shared" si="1"/>
        <v>0</v>
      </c>
    </row>
    <row r="39" spans="1:10" s="594" customFormat="1" x14ac:dyDescent="0.25">
      <c r="A39" s="973"/>
      <c r="B39" s="670">
        <f t="shared" si="2"/>
        <v>280</v>
      </c>
      <c r="C39" s="576"/>
      <c r="D39" s="1277">
        <f t="shared" si="3"/>
        <v>0</v>
      </c>
      <c r="E39" s="1278"/>
      <c r="F39" s="706">
        <f t="shared" si="0"/>
        <v>0</v>
      </c>
      <c r="G39" s="751"/>
      <c r="H39" s="593"/>
      <c r="I39" s="230">
        <f t="shared" si="4"/>
        <v>2800</v>
      </c>
      <c r="J39" s="595">
        <f t="shared" si="1"/>
        <v>0</v>
      </c>
    </row>
    <row r="40" spans="1:10" s="594" customFormat="1" x14ac:dyDescent="0.25">
      <c r="A40" s="973"/>
      <c r="B40" s="670">
        <f t="shared" si="2"/>
        <v>280</v>
      </c>
      <c r="C40" s="576"/>
      <c r="D40" s="1277">
        <f t="shared" si="3"/>
        <v>0</v>
      </c>
      <c r="E40" s="1278"/>
      <c r="F40" s="706">
        <f t="shared" si="0"/>
        <v>0</v>
      </c>
      <c r="G40" s="751"/>
      <c r="H40" s="593"/>
      <c r="I40" s="230">
        <f t="shared" si="4"/>
        <v>2800</v>
      </c>
      <c r="J40" s="595">
        <f t="shared" si="1"/>
        <v>0</v>
      </c>
    </row>
    <row r="41" spans="1:10" s="594" customFormat="1" x14ac:dyDescent="0.25">
      <c r="A41" s="973"/>
      <c r="B41" s="670">
        <f t="shared" si="2"/>
        <v>280</v>
      </c>
      <c r="C41" s="576"/>
      <c r="D41" s="1277">
        <f t="shared" si="3"/>
        <v>0</v>
      </c>
      <c r="E41" s="1278"/>
      <c r="F41" s="706">
        <f t="shared" si="0"/>
        <v>0</v>
      </c>
      <c r="G41" s="751"/>
      <c r="H41" s="593"/>
      <c r="I41" s="230">
        <f t="shared" si="4"/>
        <v>2800</v>
      </c>
      <c r="J41" s="595">
        <f t="shared" si="1"/>
        <v>0</v>
      </c>
    </row>
    <row r="42" spans="1:10" s="594" customFormat="1" x14ac:dyDescent="0.25">
      <c r="A42" s="973"/>
      <c r="B42" s="670">
        <f t="shared" si="2"/>
        <v>280</v>
      </c>
      <c r="C42" s="576"/>
      <c r="D42" s="1277">
        <f t="shared" si="3"/>
        <v>0</v>
      </c>
      <c r="E42" s="1278"/>
      <c r="F42" s="706">
        <f t="shared" si="0"/>
        <v>0</v>
      </c>
      <c r="G42" s="751"/>
      <c r="H42" s="593"/>
      <c r="I42" s="230">
        <f t="shared" si="4"/>
        <v>2800</v>
      </c>
      <c r="J42" s="595">
        <f t="shared" si="1"/>
        <v>0</v>
      </c>
    </row>
    <row r="43" spans="1:10" s="594" customFormat="1" x14ac:dyDescent="0.25">
      <c r="A43" s="973"/>
      <c r="B43" s="670">
        <f t="shared" si="2"/>
        <v>280</v>
      </c>
      <c r="C43" s="576"/>
      <c r="D43" s="1277">
        <f t="shared" si="3"/>
        <v>0</v>
      </c>
      <c r="E43" s="1278"/>
      <c r="F43" s="706">
        <f t="shared" si="0"/>
        <v>0</v>
      </c>
      <c r="G43" s="751"/>
      <c r="H43" s="593"/>
      <c r="I43" s="230">
        <f t="shared" si="4"/>
        <v>2800</v>
      </c>
      <c r="J43" s="595">
        <f t="shared" si="1"/>
        <v>0</v>
      </c>
    </row>
    <row r="44" spans="1:10" x14ac:dyDescent="0.25">
      <c r="A44" s="973"/>
      <c r="B44" s="670">
        <f t="shared" si="2"/>
        <v>280</v>
      </c>
      <c r="C44" s="576"/>
      <c r="D44" s="1277">
        <f t="shared" si="3"/>
        <v>0</v>
      </c>
      <c r="E44" s="1278"/>
      <c r="F44" s="706">
        <f t="shared" si="0"/>
        <v>0</v>
      </c>
      <c r="G44" s="751"/>
      <c r="H44" s="593"/>
      <c r="I44" s="230">
        <f t="shared" si="4"/>
        <v>2800</v>
      </c>
      <c r="J44" s="595">
        <f t="shared" si="1"/>
        <v>0</v>
      </c>
    </row>
    <row r="45" spans="1:10" x14ac:dyDescent="0.25">
      <c r="A45" s="973"/>
      <c r="B45" s="670">
        <f t="shared" si="2"/>
        <v>280</v>
      </c>
      <c r="C45" s="576"/>
      <c r="D45" s="1277">
        <f t="shared" si="3"/>
        <v>0</v>
      </c>
      <c r="E45" s="1278"/>
      <c r="F45" s="706">
        <f t="shared" si="0"/>
        <v>0</v>
      </c>
      <c r="G45" s="751"/>
      <c r="H45" s="593"/>
      <c r="I45" s="230">
        <f t="shared" si="4"/>
        <v>2800</v>
      </c>
      <c r="J45" s="595">
        <f t="shared" si="1"/>
        <v>0</v>
      </c>
    </row>
    <row r="46" spans="1:10" x14ac:dyDescent="0.25">
      <c r="A46" s="973"/>
      <c r="B46" s="670">
        <f t="shared" si="2"/>
        <v>280</v>
      </c>
      <c r="C46" s="624"/>
      <c r="D46" s="1277">
        <f t="shared" si="3"/>
        <v>0</v>
      </c>
      <c r="E46" s="1278"/>
      <c r="F46" s="706">
        <f t="shared" si="0"/>
        <v>0</v>
      </c>
      <c r="G46" s="751"/>
      <c r="H46" s="593"/>
      <c r="I46" s="230">
        <f t="shared" si="4"/>
        <v>2800</v>
      </c>
      <c r="J46" s="595">
        <f t="shared" si="1"/>
        <v>0</v>
      </c>
    </row>
    <row r="47" spans="1:10" x14ac:dyDescent="0.25">
      <c r="A47" s="19"/>
      <c r="B47" s="174">
        <f t="shared" si="2"/>
        <v>280</v>
      </c>
      <c r="C47" s="15"/>
      <c r="D47" s="1277">
        <f t="shared" si="3"/>
        <v>0</v>
      </c>
      <c r="E47" s="1279"/>
      <c r="F47" s="1274">
        <f t="shared" si="0"/>
        <v>0</v>
      </c>
      <c r="G47" s="1276"/>
      <c r="H47" s="194"/>
      <c r="I47" s="230">
        <f t="shared" si="4"/>
        <v>2800</v>
      </c>
      <c r="J47" s="59">
        <f t="shared" si="1"/>
        <v>0</v>
      </c>
    </row>
    <row r="48" spans="1:10" x14ac:dyDescent="0.25">
      <c r="B48" s="174">
        <f t="shared" si="2"/>
        <v>280</v>
      </c>
      <c r="C48" s="15"/>
      <c r="D48" s="1277">
        <f t="shared" si="3"/>
        <v>0</v>
      </c>
      <c r="E48" s="1279"/>
      <c r="F48" s="1274">
        <f t="shared" si="0"/>
        <v>0</v>
      </c>
      <c r="G48" s="1276"/>
      <c r="H48" s="194"/>
      <c r="I48" s="230">
        <f t="shared" si="4"/>
        <v>2800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280</v>
      </c>
      <c r="C49" s="37"/>
      <c r="D49" s="1283">
        <f t="shared" si="3"/>
        <v>0</v>
      </c>
      <c r="E49" s="1280"/>
      <c r="F49" s="1284">
        <f t="shared" si="0"/>
        <v>0</v>
      </c>
      <c r="G49" s="1281"/>
      <c r="H49" s="1282"/>
      <c r="I49" s="831"/>
      <c r="J49" s="59">
        <f>SUM(J9:J48)</f>
        <v>95045</v>
      </c>
    </row>
    <row r="50" spans="1:10" ht="15.75" thickTop="1" x14ac:dyDescent="0.25">
      <c r="A50" s="47">
        <f>SUM(A49:A49)</f>
        <v>0</v>
      </c>
      <c r="C50" s="72"/>
      <c r="D50" s="102">
        <f>SUM(D9:D49)</f>
        <v>2030</v>
      </c>
      <c r="E50" s="130"/>
      <c r="F50" s="102">
        <f>SUM(F9:F49)</f>
        <v>2030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655" t="s">
        <v>21</v>
      </c>
      <c r="E52" s="1656"/>
      <c r="F52" s="137">
        <f>G5-F50</f>
        <v>0</v>
      </c>
    </row>
    <row r="53" spans="1:10" ht="15.75" thickBot="1" x14ac:dyDescent="0.3">
      <c r="A53" s="121"/>
      <c r="D53" s="964" t="s">
        <v>4</v>
      </c>
      <c r="E53" s="965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D19" sqref="D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668" t="s">
        <v>346</v>
      </c>
      <c r="B1" s="1668"/>
      <c r="C1" s="1668"/>
      <c r="D1" s="1668"/>
      <c r="E1" s="1668"/>
      <c r="F1" s="1668"/>
      <c r="G1" s="1668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698" t="s">
        <v>438</v>
      </c>
      <c r="B5" s="1696" t="s">
        <v>127</v>
      </c>
      <c r="C5" s="152">
        <v>25</v>
      </c>
      <c r="D5" s="145">
        <v>45128</v>
      </c>
      <c r="E5" s="128">
        <v>1896.46</v>
      </c>
      <c r="F5" s="72">
        <v>2</v>
      </c>
      <c r="G5" s="87">
        <f>F30</f>
        <v>3782.48</v>
      </c>
      <c r="H5" s="150">
        <f>E5-G5+E6</f>
        <v>0</v>
      </c>
    </row>
    <row r="6" spans="1:10" ht="15.75" x14ac:dyDescent="0.25">
      <c r="A6" s="1698"/>
      <c r="B6" s="1696"/>
      <c r="C6" s="152">
        <v>25</v>
      </c>
      <c r="D6" s="145">
        <v>45134</v>
      </c>
      <c r="E6" s="128">
        <v>1886.02</v>
      </c>
      <c r="F6" s="72">
        <v>2</v>
      </c>
      <c r="G6" s="324"/>
    </row>
    <row r="7" spans="1:10" ht="15.75" thickBot="1" x14ac:dyDescent="0.3">
      <c r="B7" s="1697"/>
      <c r="C7" s="152"/>
      <c r="D7" s="145"/>
      <c r="E7" s="128"/>
      <c r="F7" s="72"/>
    </row>
    <row r="8" spans="1:10" ht="17.25" thickTop="1" thickBot="1" x14ac:dyDescent="0.3">
      <c r="B8" s="385" t="s">
        <v>7</v>
      </c>
      <c r="C8" s="386" t="s">
        <v>8</v>
      </c>
      <c r="D8" s="387" t="s">
        <v>17</v>
      </c>
      <c r="E8" s="388" t="s">
        <v>2</v>
      </c>
      <c r="F8" s="389" t="s">
        <v>18</v>
      </c>
      <c r="G8" s="384" t="s">
        <v>55</v>
      </c>
      <c r="H8" s="24"/>
    </row>
    <row r="9" spans="1:10" ht="16.5" thickTop="1" thickBot="1" x14ac:dyDescent="0.3">
      <c r="A9" s="54" t="s">
        <v>32</v>
      </c>
      <c r="B9" s="88"/>
      <c r="C9" s="390">
        <v>1</v>
      </c>
      <c r="D9" s="391">
        <v>945.28</v>
      </c>
      <c r="E9" s="392">
        <v>45128</v>
      </c>
      <c r="F9" s="393">
        <f>D9</f>
        <v>945.28</v>
      </c>
      <c r="G9" s="563" t="s">
        <v>662</v>
      </c>
      <c r="H9" s="564">
        <v>26</v>
      </c>
      <c r="I9" s="560">
        <f>E4+E5+E6+E7-F9</f>
        <v>2837.2</v>
      </c>
      <c r="J9" s="595">
        <f>H9*F9</f>
        <v>24577.279999999999</v>
      </c>
    </row>
    <row r="10" spans="1:10" ht="15.75" thickTop="1" x14ac:dyDescent="0.25">
      <c r="B10" s="88"/>
      <c r="C10" s="321">
        <v>1</v>
      </c>
      <c r="D10" s="322">
        <v>951.18</v>
      </c>
      <c r="E10" s="1002">
        <v>45128</v>
      </c>
      <c r="F10" s="599">
        <f>D10</f>
        <v>951.18</v>
      </c>
      <c r="G10" s="563" t="s">
        <v>662</v>
      </c>
      <c r="H10" s="564">
        <v>26</v>
      </c>
      <c r="I10" s="560">
        <f>I9-F10</f>
        <v>1886.02</v>
      </c>
      <c r="J10" s="595">
        <f t="shared" ref="J10:J28" si="0">H10*F10</f>
        <v>24730.68</v>
      </c>
    </row>
    <row r="11" spans="1:10" x14ac:dyDescent="0.25">
      <c r="B11" s="88"/>
      <c r="C11" s="321">
        <v>1</v>
      </c>
      <c r="D11" s="322">
        <v>917.61</v>
      </c>
      <c r="E11" s="1003">
        <v>45134</v>
      </c>
      <c r="F11" s="599">
        <f t="shared" ref="F11:F29" si="1">D11</f>
        <v>917.61</v>
      </c>
      <c r="G11" s="563" t="s">
        <v>709</v>
      </c>
      <c r="H11" s="564">
        <v>26</v>
      </c>
      <c r="I11" s="560">
        <f t="shared" ref="I11:I19" si="2">I10-F11</f>
        <v>968.41</v>
      </c>
      <c r="J11" s="595">
        <f t="shared" si="0"/>
        <v>23857.86</v>
      </c>
    </row>
    <row r="12" spans="1:10" x14ac:dyDescent="0.25">
      <c r="A12" s="54" t="s">
        <v>33</v>
      </c>
      <c r="B12" s="88"/>
      <c r="C12" s="321">
        <v>1</v>
      </c>
      <c r="D12" s="599">
        <v>968.41</v>
      </c>
      <c r="E12" s="1003">
        <v>45134</v>
      </c>
      <c r="F12" s="599">
        <f t="shared" si="1"/>
        <v>968.41</v>
      </c>
      <c r="G12" s="563" t="s">
        <v>709</v>
      </c>
      <c r="H12" s="564">
        <v>26</v>
      </c>
      <c r="I12" s="560">
        <f t="shared" si="2"/>
        <v>0</v>
      </c>
      <c r="J12" s="595">
        <f t="shared" si="0"/>
        <v>25178.66</v>
      </c>
    </row>
    <row r="13" spans="1:10" x14ac:dyDescent="0.25">
      <c r="B13" s="88"/>
      <c r="C13" s="321"/>
      <c r="D13" s="599"/>
      <c r="E13" s="1003"/>
      <c r="F13" s="599">
        <f t="shared" si="1"/>
        <v>0</v>
      </c>
      <c r="G13" s="563"/>
      <c r="H13" s="564"/>
      <c r="I13" s="560">
        <f t="shared" si="2"/>
        <v>0</v>
      </c>
      <c r="J13" s="595">
        <f t="shared" si="0"/>
        <v>0</v>
      </c>
    </row>
    <row r="14" spans="1:10" x14ac:dyDescent="0.25">
      <c r="A14" s="19"/>
      <c r="B14" s="88"/>
      <c r="C14" s="321"/>
      <c r="D14" s="599"/>
      <c r="E14" s="1004"/>
      <c r="F14" s="599">
        <f t="shared" si="1"/>
        <v>0</v>
      </c>
      <c r="G14" s="563"/>
      <c r="H14" s="564"/>
      <c r="I14" s="560">
        <f t="shared" si="2"/>
        <v>0</v>
      </c>
      <c r="J14" s="595">
        <f t="shared" si="0"/>
        <v>0</v>
      </c>
    </row>
    <row r="15" spans="1:10" x14ac:dyDescent="0.25">
      <c r="B15" s="88"/>
      <c r="C15" s="321"/>
      <c r="D15" s="599"/>
      <c r="E15" s="691"/>
      <c r="F15" s="599">
        <f t="shared" si="1"/>
        <v>0</v>
      </c>
      <c r="G15" s="563"/>
      <c r="H15" s="1520"/>
      <c r="I15" s="1501">
        <f t="shared" si="2"/>
        <v>0</v>
      </c>
      <c r="J15" s="1520">
        <f t="shared" si="0"/>
        <v>0</v>
      </c>
    </row>
    <row r="16" spans="1:10" x14ac:dyDescent="0.25">
      <c r="B16" s="88"/>
      <c r="C16" s="321"/>
      <c r="D16" s="599"/>
      <c r="E16" s="691"/>
      <c r="F16" s="599">
        <f t="shared" si="1"/>
        <v>0</v>
      </c>
      <c r="G16" s="563"/>
      <c r="H16" s="1520"/>
      <c r="I16" s="1501">
        <f t="shared" si="2"/>
        <v>0</v>
      </c>
      <c r="J16" s="1520">
        <f t="shared" si="0"/>
        <v>0</v>
      </c>
    </row>
    <row r="17" spans="1:10" x14ac:dyDescent="0.25">
      <c r="B17" s="88"/>
      <c r="C17" s="321"/>
      <c r="D17" s="599"/>
      <c r="E17" s="691"/>
      <c r="F17" s="599">
        <f t="shared" si="1"/>
        <v>0</v>
      </c>
      <c r="G17" s="563"/>
      <c r="H17" s="1520"/>
      <c r="I17" s="1501">
        <f t="shared" si="2"/>
        <v>0</v>
      </c>
      <c r="J17" s="1520">
        <f t="shared" si="0"/>
        <v>0</v>
      </c>
    </row>
    <row r="18" spans="1:10" x14ac:dyDescent="0.25">
      <c r="B18" s="88"/>
      <c r="C18" s="321"/>
      <c r="D18" s="599"/>
      <c r="E18" s="691"/>
      <c r="F18" s="599">
        <f t="shared" si="1"/>
        <v>0</v>
      </c>
      <c r="G18" s="563"/>
      <c r="H18" s="1520"/>
      <c r="I18" s="1501">
        <f t="shared" si="2"/>
        <v>0</v>
      </c>
      <c r="J18" s="1520">
        <f t="shared" si="0"/>
        <v>0</v>
      </c>
    </row>
    <row r="19" spans="1:10" x14ac:dyDescent="0.25">
      <c r="B19" s="88"/>
      <c r="C19" s="321"/>
      <c r="D19" s="599"/>
      <c r="E19" s="691"/>
      <c r="F19" s="599">
        <f t="shared" si="1"/>
        <v>0</v>
      </c>
      <c r="G19" s="563"/>
      <c r="H19" s="564"/>
      <c r="I19" s="560">
        <f t="shared" si="2"/>
        <v>0</v>
      </c>
      <c r="J19" s="595">
        <f t="shared" si="0"/>
        <v>0</v>
      </c>
    </row>
    <row r="20" spans="1:10" x14ac:dyDescent="0.25">
      <c r="B20" s="88"/>
      <c r="C20" s="321"/>
      <c r="D20" s="599"/>
      <c r="E20" s="691"/>
      <c r="F20" s="599">
        <f t="shared" si="1"/>
        <v>0</v>
      </c>
      <c r="G20" s="69"/>
      <c r="H20" s="564"/>
      <c r="I20" s="560">
        <f>I19-F20</f>
        <v>0</v>
      </c>
      <c r="J20" s="595">
        <f t="shared" si="0"/>
        <v>0</v>
      </c>
    </row>
    <row r="21" spans="1:10" x14ac:dyDescent="0.25">
      <c r="B21" s="88"/>
      <c r="C21" s="321"/>
      <c r="D21" s="599"/>
      <c r="E21" s="691"/>
      <c r="F21" s="599">
        <f t="shared" si="1"/>
        <v>0</v>
      </c>
      <c r="G21" s="69"/>
      <c r="H21" s="564"/>
      <c r="I21" s="560">
        <f t="shared" ref="I21:I28" si="3">I20-F21</f>
        <v>0</v>
      </c>
      <c r="J21" s="595">
        <f t="shared" si="0"/>
        <v>0</v>
      </c>
    </row>
    <row r="22" spans="1:10" x14ac:dyDescent="0.25">
      <c r="B22" s="88"/>
      <c r="C22" s="321"/>
      <c r="D22" s="599"/>
      <c r="E22" s="691"/>
      <c r="F22" s="599">
        <f t="shared" si="1"/>
        <v>0</v>
      </c>
      <c r="G22" s="69"/>
      <c r="H22" s="564"/>
      <c r="I22" s="560">
        <f t="shared" si="3"/>
        <v>0</v>
      </c>
      <c r="J22" s="595">
        <f t="shared" si="0"/>
        <v>0</v>
      </c>
    </row>
    <row r="23" spans="1:10" x14ac:dyDescent="0.25">
      <c r="B23" s="88"/>
      <c r="C23" s="321"/>
      <c r="D23" s="599"/>
      <c r="E23" s="691"/>
      <c r="F23" s="599">
        <f t="shared" si="1"/>
        <v>0</v>
      </c>
      <c r="G23" s="69"/>
      <c r="H23" s="564"/>
      <c r="I23" s="560">
        <f t="shared" si="3"/>
        <v>0</v>
      </c>
      <c r="J23" s="595">
        <f t="shared" si="0"/>
        <v>0</v>
      </c>
    </row>
    <row r="24" spans="1:10" x14ac:dyDescent="0.25">
      <c r="B24" s="88"/>
      <c r="C24" s="321"/>
      <c r="D24" s="322"/>
      <c r="E24" s="334"/>
      <c r="F24" s="322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1"/>
      <c r="D25" s="322"/>
      <c r="E25" s="334"/>
      <c r="F25" s="322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1"/>
      <c r="D26" s="322"/>
      <c r="E26" s="334"/>
      <c r="F26" s="322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1"/>
      <c r="D27" s="322"/>
      <c r="E27" s="334"/>
      <c r="F27" s="322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1"/>
      <c r="D28" s="322"/>
      <c r="E28" s="334"/>
      <c r="F28" s="322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4"/>
      <c r="D29" s="395"/>
      <c r="E29" s="396"/>
      <c r="F29" s="322">
        <f t="shared" si="1"/>
        <v>0</v>
      </c>
      <c r="G29" s="135"/>
      <c r="H29" s="163"/>
      <c r="J29" s="59">
        <f>SUM(J9:J28)</f>
        <v>98344.48000000001</v>
      </c>
    </row>
    <row r="30" spans="1:10" ht="15.75" thickTop="1" x14ac:dyDescent="0.25">
      <c r="A30" s="47">
        <f>SUM(A29:A29)</f>
        <v>0</v>
      </c>
      <c r="C30" s="72">
        <f>SUM(C9:C29)</f>
        <v>4</v>
      </c>
      <c r="D30" s="102">
        <f>SUM(D9:D29)</f>
        <v>3782.48</v>
      </c>
      <c r="E30" s="74"/>
      <c r="F30" s="102">
        <f>SUM(F9:F29)</f>
        <v>3782.48</v>
      </c>
    </row>
    <row r="31" spans="1:10" ht="15.75" thickBot="1" x14ac:dyDescent="0.3">
      <c r="A31" s="47"/>
    </row>
    <row r="32" spans="1:10" x14ac:dyDescent="0.25">
      <c r="B32" s="5"/>
      <c r="D32" s="1655" t="s">
        <v>21</v>
      </c>
      <c r="E32" s="1656"/>
      <c r="F32" s="137">
        <f>E5-F30+E6+E7</f>
        <v>0</v>
      </c>
    </row>
    <row r="33" spans="1:6" ht="15.75" thickBot="1" x14ac:dyDescent="0.3">
      <c r="A33" s="121"/>
      <c r="D33" s="980" t="s">
        <v>4</v>
      </c>
      <c r="E33" s="981"/>
      <c r="F33" s="49">
        <f>F4+F5+F6+F7-C30</f>
        <v>0</v>
      </c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T43"/>
  <sheetViews>
    <sheetView topLeftCell="L1" workbookViewId="0">
      <selection activeCell="O34" sqref="O34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20" ht="36.75" customHeight="1" x14ac:dyDescent="0.55000000000000004">
      <c r="A1" s="1663" t="s">
        <v>312</v>
      </c>
      <c r="B1" s="1663"/>
      <c r="C1" s="1663"/>
      <c r="D1" s="1663"/>
      <c r="E1" s="1663"/>
      <c r="F1" s="1663"/>
      <c r="G1" s="1663"/>
      <c r="H1" s="11">
        <v>1</v>
      </c>
      <c r="K1" s="1668" t="s">
        <v>337</v>
      </c>
      <c r="L1" s="1668"/>
      <c r="M1" s="1668"/>
      <c r="N1" s="1668"/>
      <c r="O1" s="1668"/>
      <c r="P1" s="1668"/>
      <c r="Q1" s="1668"/>
      <c r="R1" s="11">
        <v>2</v>
      </c>
    </row>
    <row r="2" spans="1:20" ht="15.75" thickBot="1" x14ac:dyDescent="0.3"/>
    <row r="3" spans="1:2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>
        <v>338.07</v>
      </c>
      <c r="P4" s="12">
        <v>6</v>
      </c>
      <c r="Q4" s="151"/>
      <c r="R4" s="151"/>
    </row>
    <row r="5" spans="1:20" ht="15" customHeight="1" x14ac:dyDescent="0.3">
      <c r="A5" s="1667" t="s">
        <v>98</v>
      </c>
      <c r="B5" s="1699" t="s">
        <v>99</v>
      </c>
      <c r="C5" s="890">
        <v>65</v>
      </c>
      <c r="D5" s="130">
        <v>45090</v>
      </c>
      <c r="E5" s="436">
        <v>1204.5</v>
      </c>
      <c r="F5" s="1137">
        <v>35</v>
      </c>
      <c r="G5" s="1138"/>
      <c r="K5" s="1667" t="s">
        <v>98</v>
      </c>
      <c r="L5" s="1699" t="s">
        <v>99</v>
      </c>
      <c r="M5" s="890">
        <v>63</v>
      </c>
      <c r="N5" s="130">
        <v>45112</v>
      </c>
      <c r="O5" s="436">
        <v>1178.1600000000001</v>
      </c>
      <c r="P5" s="1225">
        <v>35</v>
      </c>
      <c r="Q5" s="1227"/>
    </row>
    <row r="6" spans="1:20" ht="15.75" customHeight="1" x14ac:dyDescent="0.3">
      <c r="A6" s="1667"/>
      <c r="B6" s="1699"/>
      <c r="C6" s="890"/>
      <c r="D6" s="130"/>
      <c r="E6" s="876"/>
      <c r="F6" s="1137"/>
      <c r="G6" s="87">
        <f>F39</f>
        <v>1204.5</v>
      </c>
      <c r="H6" s="7">
        <f>E6-G6+E5+E7+E4</f>
        <v>0</v>
      </c>
      <c r="K6" s="1667"/>
      <c r="L6" s="1699"/>
      <c r="M6" s="890">
        <v>63</v>
      </c>
      <c r="N6" s="130">
        <v>45133</v>
      </c>
      <c r="O6" s="876">
        <v>666.16</v>
      </c>
      <c r="P6" s="1225">
        <v>20</v>
      </c>
      <c r="Q6" s="87">
        <f>P39</f>
        <v>1838.7700000000002</v>
      </c>
      <c r="R6" s="7">
        <f>O6-Q6+O5+O7+O4</f>
        <v>343.61999999999995</v>
      </c>
    </row>
    <row r="7" spans="1:20" ht="15.75" thickBot="1" x14ac:dyDescent="0.3">
      <c r="B7" s="171"/>
      <c r="C7" s="65"/>
      <c r="D7" s="130"/>
      <c r="E7" s="85"/>
      <c r="F7" s="1137"/>
      <c r="L7" s="171"/>
      <c r="M7" s="65"/>
      <c r="N7" s="130"/>
      <c r="O7" s="85"/>
      <c r="P7" s="1225"/>
    </row>
    <row r="8" spans="1:20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6" t="s">
        <v>17</v>
      </c>
      <c r="O8" s="269" t="s">
        <v>2</v>
      </c>
      <c r="P8" s="262" t="s">
        <v>18</v>
      </c>
      <c r="Q8" s="270" t="s">
        <v>15</v>
      </c>
      <c r="R8" s="24"/>
    </row>
    <row r="9" spans="1:20" ht="15.75" thickTop="1" x14ac:dyDescent="0.25">
      <c r="A9" s="54" t="s">
        <v>32</v>
      </c>
      <c r="B9" s="382">
        <f>F5+F6+F7-C9+F4</f>
        <v>34</v>
      </c>
      <c r="C9" s="1137">
        <v>1</v>
      </c>
      <c r="D9" s="565">
        <v>28.79</v>
      </c>
      <c r="E9" s="640">
        <v>45104</v>
      </c>
      <c r="F9" s="596">
        <f t="shared" ref="F9:F38" si="0">D9</f>
        <v>28.79</v>
      </c>
      <c r="G9" s="563" t="s">
        <v>273</v>
      </c>
      <c r="H9" s="564">
        <v>67</v>
      </c>
      <c r="I9" s="560">
        <f>E5+E6+E7-F9+E4</f>
        <v>1175.71</v>
      </c>
      <c r="K9" s="54" t="s">
        <v>32</v>
      </c>
      <c r="L9" s="382">
        <f>P5+P6+P7-M9+P4</f>
        <v>54</v>
      </c>
      <c r="M9" s="576">
        <v>7</v>
      </c>
      <c r="N9" s="565">
        <v>255.18</v>
      </c>
      <c r="O9" s="640">
        <v>45115</v>
      </c>
      <c r="P9" s="596">
        <f t="shared" ref="P9:P10" si="1">N9</f>
        <v>255.18</v>
      </c>
      <c r="Q9" s="563" t="s">
        <v>544</v>
      </c>
      <c r="R9" s="564">
        <v>67</v>
      </c>
      <c r="S9" s="560">
        <f>O5+O6+O7-P9+O4</f>
        <v>1927.21</v>
      </c>
    </row>
    <row r="10" spans="1:20" x14ac:dyDescent="0.25">
      <c r="B10" s="724">
        <f>B9-C10</f>
        <v>14</v>
      </c>
      <c r="C10" s="576">
        <v>20</v>
      </c>
      <c r="D10" s="565">
        <v>566.04999999999995</v>
      </c>
      <c r="E10" s="640">
        <v>45106</v>
      </c>
      <c r="F10" s="596">
        <f t="shared" si="0"/>
        <v>566.04999999999995</v>
      </c>
      <c r="G10" s="563" t="s">
        <v>289</v>
      </c>
      <c r="H10" s="564">
        <v>65</v>
      </c>
      <c r="I10" s="560">
        <f>I9-F10</f>
        <v>609.66000000000008</v>
      </c>
      <c r="L10" s="724">
        <f>L9-M10</f>
        <v>53</v>
      </c>
      <c r="M10" s="576">
        <v>1</v>
      </c>
      <c r="N10" s="565">
        <v>35.74</v>
      </c>
      <c r="O10" s="640">
        <v>45117</v>
      </c>
      <c r="P10" s="596">
        <f t="shared" si="1"/>
        <v>35.74</v>
      </c>
      <c r="Q10" s="563" t="s">
        <v>556</v>
      </c>
      <c r="R10" s="564">
        <v>67</v>
      </c>
      <c r="S10" s="560">
        <f>S9-P10</f>
        <v>1891.47</v>
      </c>
      <c r="T10" s="594"/>
    </row>
    <row r="11" spans="1:20" x14ac:dyDescent="0.25">
      <c r="B11" s="724">
        <f>B10-C11</f>
        <v>8</v>
      </c>
      <c r="C11" s="576">
        <v>6</v>
      </c>
      <c r="D11" s="565">
        <v>200.03</v>
      </c>
      <c r="E11" s="640">
        <v>45106</v>
      </c>
      <c r="F11" s="596">
        <f t="shared" si="0"/>
        <v>200.03</v>
      </c>
      <c r="G11" s="563" t="s">
        <v>290</v>
      </c>
      <c r="H11" s="564">
        <v>67</v>
      </c>
      <c r="I11" s="560">
        <f t="shared" ref="I11:I19" si="2">I10-F11</f>
        <v>409.63000000000011</v>
      </c>
      <c r="L11" s="724">
        <f>L10-M11</f>
        <v>45</v>
      </c>
      <c r="M11" s="576">
        <v>8</v>
      </c>
      <c r="N11" s="565">
        <v>266.18</v>
      </c>
      <c r="O11" s="640">
        <v>45118</v>
      </c>
      <c r="P11" s="596">
        <f t="shared" ref="P11:P38" si="3">N11</f>
        <v>266.18</v>
      </c>
      <c r="Q11" s="563" t="s">
        <v>563</v>
      </c>
      <c r="R11" s="564">
        <v>67</v>
      </c>
      <c r="S11" s="560">
        <f t="shared" ref="S11:S19" si="4">S10-P11</f>
        <v>1625.29</v>
      </c>
      <c r="T11" s="594"/>
    </row>
    <row r="12" spans="1:20" x14ac:dyDescent="0.25">
      <c r="A12" s="54" t="s">
        <v>33</v>
      </c>
      <c r="B12" s="724">
        <f t="shared" ref="B12:B14" si="5">B11-C12</f>
        <v>7</v>
      </c>
      <c r="C12" s="576">
        <v>1</v>
      </c>
      <c r="D12" s="565">
        <v>36.840000000000003</v>
      </c>
      <c r="E12" s="640">
        <v>45107</v>
      </c>
      <c r="F12" s="596">
        <f t="shared" si="0"/>
        <v>36.840000000000003</v>
      </c>
      <c r="G12" s="563" t="s">
        <v>295</v>
      </c>
      <c r="H12" s="564">
        <v>67</v>
      </c>
      <c r="I12" s="560">
        <f t="shared" si="2"/>
        <v>372.79000000000008</v>
      </c>
      <c r="K12" s="54" t="s">
        <v>33</v>
      </c>
      <c r="L12" s="724">
        <f t="shared" ref="L12:L14" si="6">L11-M12</f>
        <v>44</v>
      </c>
      <c r="M12" s="576">
        <v>1</v>
      </c>
      <c r="N12" s="565">
        <v>35.61</v>
      </c>
      <c r="O12" s="640">
        <v>45119</v>
      </c>
      <c r="P12" s="596">
        <f t="shared" si="3"/>
        <v>35.61</v>
      </c>
      <c r="Q12" s="563" t="s">
        <v>579</v>
      </c>
      <c r="R12" s="564">
        <v>67</v>
      </c>
      <c r="S12" s="560">
        <f t="shared" si="4"/>
        <v>1589.68</v>
      </c>
      <c r="T12" s="594"/>
    </row>
    <row r="13" spans="1:20" x14ac:dyDescent="0.25">
      <c r="B13" s="642">
        <f t="shared" si="5"/>
        <v>6</v>
      </c>
      <c r="C13" s="576">
        <v>1</v>
      </c>
      <c r="D13" s="565">
        <v>34.72</v>
      </c>
      <c r="E13" s="640">
        <v>45108</v>
      </c>
      <c r="F13" s="596">
        <f t="shared" si="0"/>
        <v>34.72</v>
      </c>
      <c r="G13" s="563" t="s">
        <v>300</v>
      </c>
      <c r="H13" s="564">
        <v>67</v>
      </c>
      <c r="I13" s="630">
        <f t="shared" si="2"/>
        <v>338.07000000000005</v>
      </c>
      <c r="L13" s="724">
        <f t="shared" si="6"/>
        <v>39</v>
      </c>
      <c r="M13" s="576">
        <v>5</v>
      </c>
      <c r="N13" s="565">
        <v>157.24</v>
      </c>
      <c r="O13" s="640">
        <v>45120</v>
      </c>
      <c r="P13" s="596">
        <f t="shared" si="3"/>
        <v>157.24</v>
      </c>
      <c r="Q13" s="563" t="s">
        <v>588</v>
      </c>
      <c r="R13" s="564">
        <v>63</v>
      </c>
      <c r="S13" s="560">
        <f t="shared" si="4"/>
        <v>1432.44</v>
      </c>
      <c r="T13" s="594"/>
    </row>
    <row r="14" spans="1:20" x14ac:dyDescent="0.25">
      <c r="A14" s="19"/>
      <c r="B14" s="724">
        <f t="shared" si="5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2"/>
        <v>338.07000000000005</v>
      </c>
      <c r="K14" s="19"/>
      <c r="L14" s="724">
        <f t="shared" si="6"/>
        <v>38</v>
      </c>
      <c r="M14" s="576">
        <v>1</v>
      </c>
      <c r="N14" s="565">
        <v>34.97</v>
      </c>
      <c r="O14" s="640">
        <v>45122</v>
      </c>
      <c r="P14" s="596">
        <f t="shared" si="3"/>
        <v>34.97</v>
      </c>
      <c r="Q14" s="563" t="s">
        <v>606</v>
      </c>
      <c r="R14" s="564">
        <v>67</v>
      </c>
      <c r="S14" s="560">
        <f t="shared" si="4"/>
        <v>1397.47</v>
      </c>
      <c r="T14" s="594"/>
    </row>
    <row r="15" spans="1:20" x14ac:dyDescent="0.25">
      <c r="B15" s="724">
        <f>B14-C15</f>
        <v>6</v>
      </c>
      <c r="C15" s="576"/>
      <c r="D15" s="750">
        <v>0</v>
      </c>
      <c r="E15" s="1285"/>
      <c r="F15" s="1286">
        <f t="shared" si="0"/>
        <v>0</v>
      </c>
      <c r="G15" s="751"/>
      <c r="H15" s="593"/>
      <c r="I15" s="560">
        <f t="shared" si="2"/>
        <v>338.07000000000005</v>
      </c>
      <c r="L15" s="724">
        <f>L14-M15</f>
        <v>31</v>
      </c>
      <c r="M15" s="576">
        <v>7</v>
      </c>
      <c r="N15" s="565">
        <v>234.6</v>
      </c>
      <c r="O15" s="640">
        <v>45122</v>
      </c>
      <c r="P15" s="596">
        <f t="shared" si="3"/>
        <v>234.6</v>
      </c>
      <c r="Q15" s="563" t="s">
        <v>607</v>
      </c>
      <c r="R15" s="564">
        <v>67</v>
      </c>
      <c r="S15" s="560">
        <f t="shared" si="4"/>
        <v>1162.8700000000001</v>
      </c>
      <c r="T15" s="594"/>
    </row>
    <row r="16" spans="1:20" x14ac:dyDescent="0.25">
      <c r="B16" s="724">
        <f t="shared" ref="B16:B38" si="7">B15-C16</f>
        <v>0</v>
      </c>
      <c r="C16" s="576">
        <v>6</v>
      </c>
      <c r="D16" s="750">
        <v>0</v>
      </c>
      <c r="E16" s="1285"/>
      <c r="F16" s="1500">
        <v>338.07</v>
      </c>
      <c r="G16" s="1492"/>
      <c r="H16" s="1493"/>
      <c r="I16" s="1501">
        <f t="shared" si="2"/>
        <v>0</v>
      </c>
      <c r="L16" s="724">
        <f t="shared" ref="L16:L38" si="8">L15-M16</f>
        <v>30</v>
      </c>
      <c r="M16" s="576">
        <v>1</v>
      </c>
      <c r="N16" s="565">
        <v>32.83</v>
      </c>
      <c r="O16" s="640">
        <v>45122</v>
      </c>
      <c r="P16" s="596">
        <f t="shared" si="3"/>
        <v>32.83</v>
      </c>
      <c r="Q16" s="563" t="s">
        <v>610</v>
      </c>
      <c r="R16" s="564">
        <v>67</v>
      </c>
      <c r="S16" s="560">
        <f t="shared" si="4"/>
        <v>1130.0400000000002</v>
      </c>
      <c r="T16" s="594"/>
    </row>
    <row r="17" spans="2:19" x14ac:dyDescent="0.25">
      <c r="B17" s="724">
        <f t="shared" si="7"/>
        <v>0</v>
      </c>
      <c r="C17" s="576"/>
      <c r="D17" s="750">
        <v>0</v>
      </c>
      <c r="E17" s="1285"/>
      <c r="F17" s="1500">
        <f t="shared" si="0"/>
        <v>0</v>
      </c>
      <c r="G17" s="1492"/>
      <c r="H17" s="1493"/>
      <c r="I17" s="1501">
        <f t="shared" si="2"/>
        <v>0</v>
      </c>
      <c r="L17" s="724">
        <f t="shared" si="8"/>
        <v>23</v>
      </c>
      <c r="M17" s="576">
        <v>7</v>
      </c>
      <c r="N17" s="565">
        <v>234.95</v>
      </c>
      <c r="O17" s="640">
        <v>45124</v>
      </c>
      <c r="P17" s="596">
        <f t="shared" si="3"/>
        <v>234.95</v>
      </c>
      <c r="Q17" s="563" t="s">
        <v>617</v>
      </c>
      <c r="R17" s="564">
        <v>67</v>
      </c>
      <c r="S17" s="560">
        <f t="shared" si="4"/>
        <v>895.09000000000015</v>
      </c>
    </row>
    <row r="18" spans="2:19" x14ac:dyDescent="0.25">
      <c r="B18" s="724">
        <f t="shared" si="7"/>
        <v>0</v>
      </c>
      <c r="C18" s="576"/>
      <c r="D18" s="750">
        <v>0</v>
      </c>
      <c r="E18" s="1285"/>
      <c r="F18" s="1500">
        <f t="shared" si="0"/>
        <v>0</v>
      </c>
      <c r="G18" s="1492"/>
      <c r="H18" s="1493"/>
      <c r="I18" s="1501">
        <f t="shared" si="2"/>
        <v>0</v>
      </c>
      <c r="L18" s="724">
        <f t="shared" si="8"/>
        <v>18</v>
      </c>
      <c r="M18" s="576">
        <v>5</v>
      </c>
      <c r="N18" s="565">
        <v>169.96</v>
      </c>
      <c r="O18" s="640">
        <v>45124</v>
      </c>
      <c r="P18" s="596">
        <f t="shared" si="3"/>
        <v>169.96</v>
      </c>
      <c r="Q18" s="563" t="s">
        <v>619</v>
      </c>
      <c r="R18" s="564">
        <v>65</v>
      </c>
      <c r="S18" s="560">
        <f t="shared" si="4"/>
        <v>725.13000000000011</v>
      </c>
    </row>
    <row r="19" spans="2:19" x14ac:dyDescent="0.25">
      <c r="B19" s="724">
        <f t="shared" si="7"/>
        <v>0</v>
      </c>
      <c r="C19" s="576"/>
      <c r="D19" s="750">
        <v>0</v>
      </c>
      <c r="E19" s="1285"/>
      <c r="F19" s="1500">
        <f t="shared" si="0"/>
        <v>0</v>
      </c>
      <c r="G19" s="1492"/>
      <c r="H19" s="1493"/>
      <c r="I19" s="1501">
        <f t="shared" si="2"/>
        <v>0</v>
      </c>
      <c r="L19" s="724">
        <f t="shared" si="8"/>
        <v>17</v>
      </c>
      <c r="M19" s="576">
        <v>1</v>
      </c>
      <c r="N19" s="565">
        <v>35.520000000000003</v>
      </c>
      <c r="O19" s="640">
        <v>45125</v>
      </c>
      <c r="P19" s="596">
        <f t="shared" si="3"/>
        <v>35.520000000000003</v>
      </c>
      <c r="Q19" s="563" t="s">
        <v>637</v>
      </c>
      <c r="R19" s="564">
        <v>67</v>
      </c>
      <c r="S19" s="560">
        <f t="shared" si="4"/>
        <v>689.61000000000013</v>
      </c>
    </row>
    <row r="20" spans="2:19" x14ac:dyDescent="0.25">
      <c r="B20" s="724">
        <f t="shared" si="7"/>
        <v>0</v>
      </c>
      <c r="C20" s="576"/>
      <c r="D20" s="750">
        <v>0</v>
      </c>
      <c r="E20" s="1285"/>
      <c r="F20" s="1286">
        <f t="shared" si="0"/>
        <v>0</v>
      </c>
      <c r="G20" s="751"/>
      <c r="H20" s="593"/>
      <c r="I20" s="560">
        <f>I19-F20</f>
        <v>0</v>
      </c>
      <c r="L20" s="724">
        <f t="shared" si="8"/>
        <v>10</v>
      </c>
      <c r="M20" s="576">
        <v>7</v>
      </c>
      <c r="N20" s="565">
        <v>240.96</v>
      </c>
      <c r="O20" s="640">
        <v>45126</v>
      </c>
      <c r="P20" s="596">
        <f t="shared" si="3"/>
        <v>240.96</v>
      </c>
      <c r="Q20" s="563" t="s">
        <v>643</v>
      </c>
      <c r="R20" s="564">
        <v>67</v>
      </c>
      <c r="S20" s="560">
        <f>S19-P20</f>
        <v>448.65000000000009</v>
      </c>
    </row>
    <row r="21" spans="2:19" x14ac:dyDescent="0.25">
      <c r="B21" s="724">
        <f t="shared" si="7"/>
        <v>0</v>
      </c>
      <c r="C21" s="576"/>
      <c r="D21" s="750">
        <v>0</v>
      </c>
      <c r="E21" s="1285"/>
      <c r="F21" s="1286">
        <f t="shared" si="0"/>
        <v>0</v>
      </c>
      <c r="G21" s="751"/>
      <c r="H21" s="593"/>
      <c r="I21" s="560">
        <f t="shared" ref="I21:I38" si="9">I20-F21</f>
        <v>0</v>
      </c>
      <c r="L21" s="724">
        <f t="shared" si="8"/>
        <v>9</v>
      </c>
      <c r="M21" s="576">
        <v>1</v>
      </c>
      <c r="N21" s="565">
        <v>34.81</v>
      </c>
      <c r="O21" s="640">
        <v>45129</v>
      </c>
      <c r="P21" s="596">
        <f t="shared" si="3"/>
        <v>34.81</v>
      </c>
      <c r="Q21" s="563" t="s">
        <v>670</v>
      </c>
      <c r="R21" s="564">
        <v>67</v>
      </c>
      <c r="S21" s="560">
        <f t="shared" ref="S21:S38" si="10">S20-P21</f>
        <v>413.84000000000009</v>
      </c>
    </row>
    <row r="22" spans="2:19" x14ac:dyDescent="0.25">
      <c r="B22" s="724">
        <f t="shared" si="7"/>
        <v>0</v>
      </c>
      <c r="C22" s="576"/>
      <c r="D22" s="750">
        <v>0</v>
      </c>
      <c r="E22" s="1285"/>
      <c r="F22" s="1286">
        <f t="shared" si="0"/>
        <v>0</v>
      </c>
      <c r="G22" s="751"/>
      <c r="H22" s="593"/>
      <c r="I22" s="560">
        <f t="shared" si="9"/>
        <v>0</v>
      </c>
      <c r="L22" s="724">
        <f t="shared" si="8"/>
        <v>7</v>
      </c>
      <c r="M22" s="576">
        <v>2</v>
      </c>
      <c r="N22" s="565">
        <v>70.22</v>
      </c>
      <c r="O22" s="640">
        <v>45131</v>
      </c>
      <c r="P22" s="596">
        <f t="shared" si="3"/>
        <v>70.22</v>
      </c>
      <c r="Q22" s="563" t="s">
        <v>680</v>
      </c>
      <c r="R22" s="564">
        <v>67</v>
      </c>
      <c r="S22" s="560">
        <f t="shared" si="10"/>
        <v>343.62000000000012</v>
      </c>
    </row>
    <row r="23" spans="2:19" x14ac:dyDescent="0.25">
      <c r="B23" s="724">
        <f t="shared" si="7"/>
        <v>0</v>
      </c>
      <c r="C23" s="576"/>
      <c r="D23" s="750">
        <v>0</v>
      </c>
      <c r="E23" s="1285"/>
      <c r="F23" s="1286">
        <f t="shared" si="0"/>
        <v>0</v>
      </c>
      <c r="G23" s="751"/>
      <c r="H23" s="593"/>
      <c r="I23" s="560">
        <f t="shared" si="9"/>
        <v>0</v>
      </c>
      <c r="L23" s="724">
        <f t="shared" si="8"/>
        <v>7</v>
      </c>
      <c r="M23" s="576"/>
      <c r="N23" s="565">
        <v>0</v>
      </c>
      <c r="O23" s="640"/>
      <c r="P23" s="596">
        <f t="shared" si="3"/>
        <v>0</v>
      </c>
      <c r="Q23" s="563"/>
      <c r="R23" s="564"/>
      <c r="S23" s="560">
        <f t="shared" si="10"/>
        <v>343.62000000000012</v>
      </c>
    </row>
    <row r="24" spans="2:19" x14ac:dyDescent="0.25">
      <c r="B24" s="724">
        <f t="shared" si="7"/>
        <v>0</v>
      </c>
      <c r="C24" s="576"/>
      <c r="D24" s="750">
        <v>0</v>
      </c>
      <c r="E24" s="1285"/>
      <c r="F24" s="1286">
        <f t="shared" si="0"/>
        <v>0</v>
      </c>
      <c r="G24" s="751"/>
      <c r="H24" s="593"/>
      <c r="I24" s="560">
        <f t="shared" si="9"/>
        <v>0</v>
      </c>
      <c r="L24" s="724">
        <f t="shared" si="8"/>
        <v>7</v>
      </c>
      <c r="M24" s="576"/>
      <c r="N24" s="565">
        <v>0</v>
      </c>
      <c r="O24" s="640"/>
      <c r="P24" s="596">
        <f t="shared" si="3"/>
        <v>0</v>
      </c>
      <c r="Q24" s="563"/>
      <c r="R24" s="564"/>
      <c r="S24" s="560">
        <f t="shared" si="10"/>
        <v>343.62000000000012</v>
      </c>
    </row>
    <row r="25" spans="2:19" x14ac:dyDescent="0.25">
      <c r="B25" s="724">
        <f t="shared" si="7"/>
        <v>0</v>
      </c>
      <c r="C25" s="576"/>
      <c r="D25" s="750">
        <v>0</v>
      </c>
      <c r="E25" s="1285"/>
      <c r="F25" s="1286">
        <f t="shared" si="0"/>
        <v>0</v>
      </c>
      <c r="G25" s="751"/>
      <c r="H25" s="593"/>
      <c r="I25" s="560">
        <f t="shared" si="9"/>
        <v>0</v>
      </c>
      <c r="L25" s="724">
        <f t="shared" si="8"/>
        <v>7</v>
      </c>
      <c r="M25" s="576"/>
      <c r="N25" s="565">
        <v>0</v>
      </c>
      <c r="O25" s="640"/>
      <c r="P25" s="596">
        <f t="shared" si="3"/>
        <v>0</v>
      </c>
      <c r="Q25" s="563"/>
      <c r="R25" s="564"/>
      <c r="S25" s="560">
        <f t="shared" si="10"/>
        <v>343.62000000000012</v>
      </c>
    </row>
    <row r="26" spans="2:19" x14ac:dyDescent="0.25">
      <c r="B26" s="724">
        <f t="shared" si="7"/>
        <v>0</v>
      </c>
      <c r="C26" s="576"/>
      <c r="D26" s="750">
        <v>0</v>
      </c>
      <c r="E26" s="1285"/>
      <c r="F26" s="1286">
        <f t="shared" si="0"/>
        <v>0</v>
      </c>
      <c r="G26" s="751"/>
      <c r="H26" s="593"/>
      <c r="I26" s="560">
        <f t="shared" si="9"/>
        <v>0</v>
      </c>
      <c r="L26" s="724">
        <f t="shared" si="8"/>
        <v>7</v>
      </c>
      <c r="M26" s="576"/>
      <c r="N26" s="565">
        <v>0</v>
      </c>
      <c r="O26" s="640"/>
      <c r="P26" s="596">
        <f t="shared" si="3"/>
        <v>0</v>
      </c>
      <c r="Q26" s="563"/>
      <c r="R26" s="564"/>
      <c r="S26" s="560">
        <f t="shared" si="10"/>
        <v>343.62000000000012</v>
      </c>
    </row>
    <row r="27" spans="2:19" x14ac:dyDescent="0.25">
      <c r="B27" s="724">
        <f t="shared" si="7"/>
        <v>0</v>
      </c>
      <c r="C27" s="576"/>
      <c r="D27" s="750">
        <v>0</v>
      </c>
      <c r="E27" s="1285"/>
      <c r="F27" s="1286">
        <f t="shared" si="0"/>
        <v>0</v>
      </c>
      <c r="G27" s="751"/>
      <c r="H27" s="593"/>
      <c r="I27" s="560">
        <f t="shared" si="9"/>
        <v>0</v>
      </c>
      <c r="L27" s="724">
        <f t="shared" si="8"/>
        <v>7</v>
      </c>
      <c r="M27" s="576"/>
      <c r="N27" s="565">
        <v>0</v>
      </c>
      <c r="O27" s="640"/>
      <c r="P27" s="596">
        <f t="shared" si="3"/>
        <v>0</v>
      </c>
      <c r="Q27" s="563"/>
      <c r="R27" s="564"/>
      <c r="S27" s="560">
        <f t="shared" si="10"/>
        <v>343.62000000000012</v>
      </c>
    </row>
    <row r="28" spans="2:19" x14ac:dyDescent="0.25">
      <c r="B28" s="724">
        <f t="shared" si="7"/>
        <v>0</v>
      </c>
      <c r="C28" s="576"/>
      <c r="D28" s="750">
        <v>0</v>
      </c>
      <c r="E28" s="1285"/>
      <c r="F28" s="1286">
        <f t="shared" si="0"/>
        <v>0</v>
      </c>
      <c r="G28" s="751"/>
      <c r="H28" s="593"/>
      <c r="I28" s="560">
        <f t="shared" si="9"/>
        <v>0</v>
      </c>
      <c r="L28" s="724">
        <f t="shared" si="8"/>
        <v>7</v>
      </c>
      <c r="M28" s="576"/>
      <c r="N28" s="565">
        <v>0</v>
      </c>
      <c r="O28" s="640"/>
      <c r="P28" s="596">
        <f t="shared" si="3"/>
        <v>0</v>
      </c>
      <c r="Q28" s="563"/>
      <c r="R28" s="564"/>
      <c r="S28" s="560">
        <f t="shared" si="10"/>
        <v>343.62000000000012</v>
      </c>
    </row>
    <row r="29" spans="2:19" x14ac:dyDescent="0.25">
      <c r="B29" s="724">
        <f t="shared" si="7"/>
        <v>0</v>
      </c>
      <c r="C29" s="576"/>
      <c r="D29" s="750">
        <v>0</v>
      </c>
      <c r="E29" s="1285"/>
      <c r="F29" s="1286">
        <f t="shared" si="0"/>
        <v>0</v>
      </c>
      <c r="G29" s="751"/>
      <c r="H29" s="593"/>
      <c r="I29" s="560">
        <f t="shared" si="9"/>
        <v>0</v>
      </c>
      <c r="L29" s="724">
        <f t="shared" si="8"/>
        <v>7</v>
      </c>
      <c r="M29" s="576"/>
      <c r="N29" s="565">
        <v>0</v>
      </c>
      <c r="O29" s="640"/>
      <c r="P29" s="596">
        <f t="shared" si="3"/>
        <v>0</v>
      </c>
      <c r="Q29" s="563"/>
      <c r="R29" s="564"/>
      <c r="S29" s="560">
        <f t="shared" si="10"/>
        <v>343.62000000000012</v>
      </c>
    </row>
    <row r="30" spans="2:19" x14ac:dyDescent="0.25">
      <c r="B30" s="724">
        <f t="shared" si="7"/>
        <v>0</v>
      </c>
      <c r="C30" s="576"/>
      <c r="D30" s="750">
        <v>0</v>
      </c>
      <c r="E30" s="1285"/>
      <c r="F30" s="1286">
        <f t="shared" si="0"/>
        <v>0</v>
      </c>
      <c r="G30" s="751"/>
      <c r="H30" s="593"/>
      <c r="I30" s="560">
        <f t="shared" si="9"/>
        <v>0</v>
      </c>
      <c r="L30" s="724">
        <f t="shared" si="8"/>
        <v>7</v>
      </c>
      <c r="M30" s="576"/>
      <c r="N30" s="565">
        <v>0</v>
      </c>
      <c r="O30" s="640"/>
      <c r="P30" s="596">
        <f t="shared" si="3"/>
        <v>0</v>
      </c>
      <c r="Q30" s="563"/>
      <c r="R30" s="564"/>
      <c r="S30" s="560">
        <f t="shared" si="10"/>
        <v>343.62000000000012</v>
      </c>
    </row>
    <row r="31" spans="2:19" x14ac:dyDescent="0.25">
      <c r="B31" s="724">
        <f t="shared" si="7"/>
        <v>0</v>
      </c>
      <c r="C31" s="576"/>
      <c r="D31" s="565">
        <v>0</v>
      </c>
      <c r="E31" s="1085"/>
      <c r="F31" s="596">
        <f t="shared" si="0"/>
        <v>0</v>
      </c>
      <c r="G31" s="709"/>
      <c r="H31" s="710"/>
      <c r="I31" s="560">
        <f t="shared" si="9"/>
        <v>0</v>
      </c>
      <c r="L31" s="724">
        <f t="shared" si="8"/>
        <v>7</v>
      </c>
      <c r="M31" s="576"/>
      <c r="N31" s="565">
        <v>0</v>
      </c>
      <c r="O31" s="640"/>
      <c r="P31" s="596">
        <f t="shared" si="3"/>
        <v>0</v>
      </c>
      <c r="Q31" s="563"/>
      <c r="R31" s="564"/>
      <c r="S31" s="560">
        <f t="shared" si="10"/>
        <v>343.62000000000012</v>
      </c>
    </row>
    <row r="32" spans="2:19" x14ac:dyDescent="0.25">
      <c r="B32" s="724">
        <f t="shared" si="7"/>
        <v>0</v>
      </c>
      <c r="C32" s="576"/>
      <c r="D32" s="565">
        <v>0</v>
      </c>
      <c r="E32" s="1085"/>
      <c r="F32" s="596">
        <f t="shared" si="0"/>
        <v>0</v>
      </c>
      <c r="G32" s="709"/>
      <c r="H32" s="710"/>
      <c r="I32" s="560">
        <f t="shared" si="9"/>
        <v>0</v>
      </c>
      <c r="L32" s="724">
        <f t="shared" si="8"/>
        <v>7</v>
      </c>
      <c r="M32" s="576"/>
      <c r="N32" s="565">
        <v>0</v>
      </c>
      <c r="O32" s="640"/>
      <c r="P32" s="596">
        <f t="shared" si="3"/>
        <v>0</v>
      </c>
      <c r="Q32" s="563"/>
      <c r="R32" s="564"/>
      <c r="S32" s="560">
        <f t="shared" si="10"/>
        <v>343.62000000000012</v>
      </c>
    </row>
    <row r="33" spans="1:19" x14ac:dyDescent="0.25">
      <c r="B33" s="724">
        <f t="shared" si="7"/>
        <v>0</v>
      </c>
      <c r="C33" s="576"/>
      <c r="D33" s="565">
        <v>0</v>
      </c>
      <c r="E33" s="1085"/>
      <c r="F33" s="596">
        <f t="shared" si="0"/>
        <v>0</v>
      </c>
      <c r="G33" s="709"/>
      <c r="H33" s="710"/>
      <c r="I33" s="560">
        <f t="shared" si="9"/>
        <v>0</v>
      </c>
      <c r="L33" s="724">
        <f t="shared" si="8"/>
        <v>7</v>
      </c>
      <c r="M33" s="576"/>
      <c r="N33" s="565">
        <v>0</v>
      </c>
      <c r="O33" s="640"/>
      <c r="P33" s="596">
        <f t="shared" si="3"/>
        <v>0</v>
      </c>
      <c r="Q33" s="563"/>
      <c r="R33" s="564"/>
      <c r="S33" s="560">
        <f t="shared" si="10"/>
        <v>343.62000000000012</v>
      </c>
    </row>
    <row r="34" spans="1:19" x14ac:dyDescent="0.25">
      <c r="B34" s="724">
        <f t="shared" si="7"/>
        <v>0</v>
      </c>
      <c r="C34" s="576"/>
      <c r="D34" s="565">
        <v>0</v>
      </c>
      <c r="E34" s="1085"/>
      <c r="F34" s="596">
        <f t="shared" si="0"/>
        <v>0</v>
      </c>
      <c r="G34" s="709"/>
      <c r="H34" s="710"/>
      <c r="I34" s="560">
        <f t="shared" si="9"/>
        <v>0</v>
      </c>
      <c r="L34" s="724">
        <f t="shared" si="8"/>
        <v>7</v>
      </c>
      <c r="M34" s="576"/>
      <c r="N34" s="565">
        <v>0</v>
      </c>
      <c r="O34" s="1085"/>
      <c r="P34" s="596">
        <f t="shared" si="3"/>
        <v>0</v>
      </c>
      <c r="Q34" s="709"/>
      <c r="R34" s="710"/>
      <c r="S34" s="560">
        <f t="shared" si="10"/>
        <v>343.62000000000012</v>
      </c>
    </row>
    <row r="35" spans="1:19" x14ac:dyDescent="0.25">
      <c r="B35" s="724">
        <f t="shared" si="7"/>
        <v>0</v>
      </c>
      <c r="C35" s="624"/>
      <c r="D35" s="565">
        <v>0</v>
      </c>
      <c r="E35" s="1085"/>
      <c r="F35" s="596">
        <f t="shared" si="0"/>
        <v>0</v>
      </c>
      <c r="G35" s="709"/>
      <c r="H35" s="710"/>
      <c r="I35" s="560">
        <f t="shared" si="9"/>
        <v>0</v>
      </c>
      <c r="L35" s="724">
        <f t="shared" si="8"/>
        <v>7</v>
      </c>
      <c r="M35" s="624"/>
      <c r="N35" s="565">
        <v>0</v>
      </c>
      <c r="O35" s="1085"/>
      <c r="P35" s="596">
        <f t="shared" si="3"/>
        <v>0</v>
      </c>
      <c r="Q35" s="709"/>
      <c r="R35" s="710"/>
      <c r="S35" s="560">
        <f t="shared" si="10"/>
        <v>343.62000000000012</v>
      </c>
    </row>
    <row r="36" spans="1:19" x14ac:dyDescent="0.25">
      <c r="B36" s="724">
        <f t="shared" si="7"/>
        <v>0</v>
      </c>
      <c r="C36" s="624"/>
      <c r="D36" s="565">
        <v>0</v>
      </c>
      <c r="E36" s="1085"/>
      <c r="F36" s="596">
        <f t="shared" si="0"/>
        <v>0</v>
      </c>
      <c r="G36" s="709"/>
      <c r="H36" s="710"/>
      <c r="I36" s="560">
        <f t="shared" si="9"/>
        <v>0</v>
      </c>
      <c r="L36" s="724">
        <f t="shared" si="8"/>
        <v>7</v>
      </c>
      <c r="M36" s="624"/>
      <c r="N36" s="565">
        <v>0</v>
      </c>
      <c r="O36" s="1085"/>
      <c r="P36" s="596">
        <f t="shared" si="3"/>
        <v>0</v>
      </c>
      <c r="Q36" s="709"/>
      <c r="R36" s="710"/>
      <c r="S36" s="560">
        <f t="shared" si="10"/>
        <v>343.62000000000012</v>
      </c>
    </row>
    <row r="37" spans="1:19" x14ac:dyDescent="0.25">
      <c r="B37" s="382">
        <f t="shared" si="7"/>
        <v>0</v>
      </c>
      <c r="C37" s="15"/>
      <c r="D37" s="565">
        <v>0</v>
      </c>
      <c r="E37" s="1085"/>
      <c r="F37" s="596">
        <f t="shared" si="0"/>
        <v>0</v>
      </c>
      <c r="G37" s="709"/>
      <c r="H37" s="710"/>
      <c r="I37" s="560">
        <f t="shared" si="9"/>
        <v>0</v>
      </c>
      <c r="L37" s="382">
        <f t="shared" si="8"/>
        <v>7</v>
      </c>
      <c r="M37" s="15"/>
      <c r="N37" s="565">
        <v>0</v>
      </c>
      <c r="O37" s="1085"/>
      <c r="P37" s="596">
        <f t="shared" si="3"/>
        <v>0</v>
      </c>
      <c r="Q37" s="709"/>
      <c r="R37" s="710"/>
      <c r="S37" s="560">
        <f t="shared" si="10"/>
        <v>343.62000000000012</v>
      </c>
    </row>
    <row r="38" spans="1:19" ht="15.75" thickBot="1" x14ac:dyDescent="0.3">
      <c r="A38" s="117"/>
      <c r="B38" s="832">
        <f t="shared" si="7"/>
        <v>0</v>
      </c>
      <c r="C38" s="37"/>
      <c r="D38" s="565">
        <v>0</v>
      </c>
      <c r="E38" s="1005"/>
      <c r="F38" s="596">
        <f t="shared" si="0"/>
        <v>0</v>
      </c>
      <c r="G38" s="727"/>
      <c r="H38" s="766"/>
      <c r="I38" s="560">
        <f t="shared" si="9"/>
        <v>0</v>
      </c>
      <c r="K38" s="117"/>
      <c r="L38" s="832">
        <f t="shared" si="8"/>
        <v>7</v>
      </c>
      <c r="M38" s="37"/>
      <c r="N38" s="565">
        <v>0</v>
      </c>
      <c r="O38" s="1005"/>
      <c r="P38" s="596">
        <f t="shared" si="3"/>
        <v>0</v>
      </c>
      <c r="Q38" s="727"/>
      <c r="R38" s="766"/>
      <c r="S38" s="560">
        <f t="shared" si="10"/>
        <v>343.62000000000012</v>
      </c>
    </row>
    <row r="39" spans="1:19" ht="15.75" thickTop="1" x14ac:dyDescent="0.25">
      <c r="A39" s="47">
        <f>SUM(A38:A38)</f>
        <v>0</v>
      </c>
      <c r="C39" s="1137">
        <f>SUM(C9:C38)</f>
        <v>35</v>
      </c>
      <c r="D39" s="102">
        <f>SUM(D9:D38)</f>
        <v>866.43</v>
      </c>
      <c r="E39" s="74"/>
      <c r="F39" s="102">
        <f>SUM(F9:F38)</f>
        <v>1204.5</v>
      </c>
      <c r="G39" s="148"/>
      <c r="H39" s="148"/>
      <c r="K39" s="47">
        <f>SUM(K38:K38)</f>
        <v>0</v>
      </c>
      <c r="M39" s="1225">
        <f>SUM(M9:M38)</f>
        <v>54</v>
      </c>
      <c r="N39" s="102">
        <f>SUM(N9:N38)</f>
        <v>1838.7700000000002</v>
      </c>
      <c r="O39" s="74"/>
      <c r="P39" s="102">
        <f>SUM(P9:P38)</f>
        <v>1838.7700000000002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655" t="s">
        <v>21</v>
      </c>
      <c r="E41" s="1656"/>
      <c r="F41" s="137">
        <f>E5+E6-F39+E7+E4</f>
        <v>0</v>
      </c>
      <c r="L41" s="5"/>
      <c r="N41" s="1655" t="s">
        <v>21</v>
      </c>
      <c r="O41" s="1656"/>
      <c r="P41" s="137">
        <f>O5+O6-P39+O7+O4</f>
        <v>343.61999999999995</v>
      </c>
    </row>
    <row r="42" spans="1:19" ht="15.75" thickBot="1" x14ac:dyDescent="0.3">
      <c r="A42" s="121"/>
      <c r="D42" s="1135" t="s">
        <v>4</v>
      </c>
      <c r="E42" s="1136"/>
      <c r="F42" s="49">
        <f>F5+F6-C39+F7+F4</f>
        <v>0</v>
      </c>
      <c r="K42" s="121"/>
      <c r="N42" s="1221" t="s">
        <v>4</v>
      </c>
      <c r="O42" s="1222"/>
      <c r="P42" s="49">
        <f>P5+P6-M39+P7+P4</f>
        <v>7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F16" sqref="F16:I20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663" t="s">
        <v>309</v>
      </c>
      <c r="B1" s="1663"/>
      <c r="C1" s="1663"/>
      <c r="D1" s="1663"/>
      <c r="E1" s="1663"/>
      <c r="F1" s="1663"/>
      <c r="G1" s="1663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67"/>
      <c r="C4" s="362"/>
      <c r="D4" s="130"/>
      <c r="E4" s="197"/>
      <c r="F4" s="61"/>
      <c r="G4" s="151"/>
      <c r="H4" s="151"/>
    </row>
    <row r="5" spans="1:13" ht="15" customHeight="1" x14ac:dyDescent="0.25">
      <c r="A5" s="1667" t="s">
        <v>98</v>
      </c>
      <c r="B5" s="1664"/>
      <c r="C5" s="362">
        <v>123</v>
      </c>
      <c r="D5" s="130">
        <v>45064</v>
      </c>
      <c r="E5" s="1008">
        <v>355.43</v>
      </c>
      <c r="F5" s="664">
        <v>15</v>
      </c>
      <c r="G5" s="798"/>
      <c r="H5" s="594"/>
      <c r="I5" s="753"/>
      <c r="J5" s="594"/>
      <c r="K5" s="594"/>
      <c r="L5" s="594"/>
      <c r="M5" s="594"/>
    </row>
    <row r="6" spans="1:13" x14ac:dyDescent="0.25">
      <c r="A6" s="1667"/>
      <c r="B6" s="1664"/>
      <c r="C6" s="230"/>
      <c r="D6" s="130"/>
      <c r="E6" s="77"/>
      <c r="F6" s="61"/>
      <c r="G6" s="47">
        <f>F78</f>
        <v>355.43000000000006</v>
      </c>
      <c r="H6" s="7">
        <f>E6-G6+E7+E5-G5</f>
        <v>-5.6843418860808015E-14</v>
      </c>
    </row>
    <row r="7" spans="1:13" ht="15.75" thickBot="1" x14ac:dyDescent="0.3">
      <c r="B7" s="144"/>
      <c r="C7" s="371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1">
        <v>45075</v>
      </c>
      <c r="F9" s="68">
        <f t="shared" ref="F9:F10" si="0">D9</f>
        <v>21.63</v>
      </c>
      <c r="G9" s="69" t="s">
        <v>184</v>
      </c>
      <c r="H9" s="70">
        <v>125</v>
      </c>
      <c r="I9" s="102">
        <f>E6-F9+E5+E7+E4</f>
        <v>333.8</v>
      </c>
    </row>
    <row r="10" spans="1:13" x14ac:dyDescent="0.25">
      <c r="A10" s="185"/>
      <c r="B10" s="628">
        <f>B9-C10</f>
        <v>7</v>
      </c>
      <c r="C10" s="15">
        <v>7</v>
      </c>
      <c r="D10" s="68">
        <v>162.83000000000001</v>
      </c>
      <c r="E10" s="191">
        <v>45077</v>
      </c>
      <c r="F10" s="68">
        <f t="shared" si="0"/>
        <v>162.83000000000001</v>
      </c>
      <c r="G10" s="69" t="s">
        <v>189</v>
      </c>
      <c r="H10" s="70">
        <v>125</v>
      </c>
      <c r="I10" s="625">
        <f>I9-F10</f>
        <v>170.97</v>
      </c>
    </row>
    <row r="11" spans="1:13" x14ac:dyDescent="0.25">
      <c r="A11" s="174"/>
      <c r="B11" s="174">
        <f t="shared" ref="B11:B54" si="1">B10-C11</f>
        <v>7</v>
      </c>
      <c r="C11" s="624"/>
      <c r="D11" s="565"/>
      <c r="E11" s="592"/>
      <c r="F11" s="565">
        <f>D11</f>
        <v>0</v>
      </c>
      <c r="G11" s="563"/>
      <c r="H11" s="564"/>
      <c r="I11" s="596">
        <f t="shared" ref="I11:I74" si="2">I10-F11</f>
        <v>170.97</v>
      </c>
    </row>
    <row r="12" spans="1:13" x14ac:dyDescent="0.25">
      <c r="A12" s="174"/>
      <c r="B12" s="628">
        <f t="shared" si="1"/>
        <v>6</v>
      </c>
      <c r="C12" s="624">
        <v>1</v>
      </c>
      <c r="D12" s="802">
        <v>22.82</v>
      </c>
      <c r="E12" s="1052">
        <v>45103</v>
      </c>
      <c r="F12" s="802">
        <f>D12</f>
        <v>22.82</v>
      </c>
      <c r="G12" s="803" t="s">
        <v>268</v>
      </c>
      <c r="H12" s="804">
        <v>125</v>
      </c>
      <c r="I12" s="625">
        <f t="shared" si="2"/>
        <v>148.15</v>
      </c>
    </row>
    <row r="13" spans="1:13" x14ac:dyDescent="0.25">
      <c r="A13" s="81" t="s">
        <v>33</v>
      </c>
      <c r="B13" s="174">
        <f t="shared" si="1"/>
        <v>6</v>
      </c>
      <c r="C13" s="624"/>
      <c r="D13" s="802"/>
      <c r="E13" s="1052"/>
      <c r="F13" s="802">
        <f t="shared" ref="F13:F73" si="3">D13</f>
        <v>0</v>
      </c>
      <c r="G13" s="803"/>
      <c r="H13" s="804"/>
      <c r="I13" s="596">
        <f t="shared" si="2"/>
        <v>148.15</v>
      </c>
    </row>
    <row r="14" spans="1:13" x14ac:dyDescent="0.25">
      <c r="A14" s="72"/>
      <c r="B14" s="174">
        <f t="shared" si="1"/>
        <v>2</v>
      </c>
      <c r="C14" s="624">
        <v>4</v>
      </c>
      <c r="D14" s="1246">
        <v>104.31</v>
      </c>
      <c r="E14" s="1247">
        <v>45110</v>
      </c>
      <c r="F14" s="1246">
        <f t="shared" si="3"/>
        <v>104.31</v>
      </c>
      <c r="G14" s="1248" t="s">
        <v>497</v>
      </c>
      <c r="H14" s="1249">
        <v>125</v>
      </c>
      <c r="I14" s="596">
        <f t="shared" si="2"/>
        <v>43.84</v>
      </c>
    </row>
    <row r="15" spans="1:13" x14ac:dyDescent="0.25">
      <c r="A15" s="72"/>
      <c r="B15" s="174">
        <f t="shared" si="1"/>
        <v>0</v>
      </c>
      <c r="C15" s="624">
        <v>2</v>
      </c>
      <c r="D15" s="1246">
        <v>43.84</v>
      </c>
      <c r="E15" s="1247">
        <v>45119</v>
      </c>
      <c r="F15" s="1246">
        <f t="shared" si="3"/>
        <v>43.84</v>
      </c>
      <c r="G15" s="1248" t="s">
        <v>581</v>
      </c>
      <c r="H15" s="1249">
        <v>125</v>
      </c>
      <c r="I15" s="596">
        <f t="shared" si="2"/>
        <v>0</v>
      </c>
    </row>
    <row r="16" spans="1:13" x14ac:dyDescent="0.25">
      <c r="B16" s="174">
        <f t="shared" si="1"/>
        <v>0</v>
      </c>
      <c r="C16" s="624"/>
      <c r="D16" s="1246"/>
      <c r="E16" s="1247"/>
      <c r="F16" s="1514">
        <f t="shared" si="3"/>
        <v>0</v>
      </c>
      <c r="G16" s="1515"/>
      <c r="H16" s="1516"/>
      <c r="I16" s="1494">
        <f t="shared" si="2"/>
        <v>0</v>
      </c>
    </row>
    <row r="17" spans="1:9" x14ac:dyDescent="0.25">
      <c r="B17" s="174">
        <f t="shared" si="1"/>
        <v>0</v>
      </c>
      <c r="C17" s="624"/>
      <c r="D17" s="1246"/>
      <c r="E17" s="1247"/>
      <c r="F17" s="1514">
        <f t="shared" si="3"/>
        <v>0</v>
      </c>
      <c r="G17" s="1515"/>
      <c r="H17" s="1516"/>
      <c r="I17" s="1494">
        <f t="shared" si="2"/>
        <v>0</v>
      </c>
    </row>
    <row r="18" spans="1:9" x14ac:dyDescent="0.25">
      <c r="A18" s="118"/>
      <c r="B18" s="174">
        <f t="shared" si="1"/>
        <v>0</v>
      </c>
      <c r="C18" s="624"/>
      <c r="D18" s="1246"/>
      <c r="E18" s="1247"/>
      <c r="F18" s="1514">
        <f t="shared" si="3"/>
        <v>0</v>
      </c>
      <c r="G18" s="1515"/>
      <c r="H18" s="1516"/>
      <c r="I18" s="1494">
        <f t="shared" si="2"/>
        <v>0</v>
      </c>
    </row>
    <row r="19" spans="1:9" x14ac:dyDescent="0.25">
      <c r="A19" s="118"/>
      <c r="B19" s="174">
        <f t="shared" si="1"/>
        <v>0</v>
      </c>
      <c r="C19" s="624"/>
      <c r="D19" s="1246"/>
      <c r="E19" s="1247"/>
      <c r="F19" s="1514">
        <f t="shared" si="3"/>
        <v>0</v>
      </c>
      <c r="G19" s="1515"/>
      <c r="H19" s="1516"/>
      <c r="I19" s="1494">
        <f t="shared" si="2"/>
        <v>0</v>
      </c>
    </row>
    <row r="20" spans="1:9" x14ac:dyDescent="0.25">
      <c r="A20" s="118"/>
      <c r="B20" s="174">
        <f t="shared" si="1"/>
        <v>0</v>
      </c>
      <c r="C20" s="624"/>
      <c r="D20" s="1246"/>
      <c r="E20" s="1247"/>
      <c r="F20" s="1514">
        <f t="shared" si="3"/>
        <v>0</v>
      </c>
      <c r="G20" s="1515"/>
      <c r="H20" s="1516"/>
      <c r="I20" s="1494">
        <f t="shared" si="2"/>
        <v>0</v>
      </c>
    </row>
    <row r="21" spans="1:9" x14ac:dyDescent="0.25">
      <c r="A21" s="118"/>
      <c r="B21" s="174">
        <f t="shared" si="1"/>
        <v>0</v>
      </c>
      <c r="C21" s="624"/>
      <c r="D21" s="1246"/>
      <c r="E21" s="1247"/>
      <c r="F21" s="1246">
        <f t="shared" si="3"/>
        <v>0</v>
      </c>
      <c r="G21" s="1248"/>
      <c r="H21" s="1249"/>
      <c r="I21" s="596">
        <f t="shared" si="2"/>
        <v>0</v>
      </c>
    </row>
    <row r="22" spans="1:9" x14ac:dyDescent="0.25">
      <c r="A22" s="118"/>
      <c r="B22" s="174">
        <f t="shared" si="1"/>
        <v>0</v>
      </c>
      <c r="C22" s="624"/>
      <c r="D22" s="1246"/>
      <c r="E22" s="1247"/>
      <c r="F22" s="1246">
        <f t="shared" si="3"/>
        <v>0</v>
      </c>
      <c r="G22" s="1248"/>
      <c r="H22" s="1249"/>
      <c r="I22" s="596">
        <f t="shared" si="2"/>
        <v>0</v>
      </c>
    </row>
    <row r="23" spans="1:9" x14ac:dyDescent="0.25">
      <c r="A23" s="119"/>
      <c r="B23" s="174">
        <f t="shared" si="1"/>
        <v>0</v>
      </c>
      <c r="C23" s="15"/>
      <c r="D23" s="1202"/>
      <c r="E23" s="1250"/>
      <c r="F23" s="1202">
        <f t="shared" si="3"/>
        <v>0</v>
      </c>
      <c r="G23" s="1204"/>
      <c r="H23" s="1205"/>
      <c r="I23" s="102">
        <f t="shared" si="2"/>
        <v>0</v>
      </c>
    </row>
    <row r="24" spans="1:9" x14ac:dyDescent="0.25">
      <c r="A24" s="118"/>
      <c r="B24" s="174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174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67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67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67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67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67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67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67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67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67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67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67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67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67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67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67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67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67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67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67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67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67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15</v>
      </c>
      <c r="D78" s="6">
        <f>SUM(D9:D77)</f>
        <v>355.43000000000006</v>
      </c>
      <c r="F78" s="6">
        <f>SUM(F9:F77)</f>
        <v>355.43000000000006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65" t="s">
        <v>11</v>
      </c>
      <c r="D83" s="1666"/>
      <c r="E83" s="56">
        <f>E5+E6-F78+E7</f>
        <v>-5.6843418860808015E-14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9"/>
      <c r="D4" s="114"/>
      <c r="E4" s="5"/>
      <c r="F4" s="12"/>
      <c r="G4" s="151"/>
      <c r="H4" s="151"/>
    </row>
    <row r="5" spans="1:8" ht="15" hidden="1" customHeight="1" x14ac:dyDescent="0.25">
      <c r="A5" s="72"/>
      <c r="C5" s="348"/>
      <c r="D5" s="114"/>
      <c r="E5" s="47"/>
      <c r="F5" s="12"/>
      <c r="G5" s="434"/>
    </row>
    <row r="6" spans="1:8" ht="15.75" customHeight="1" thickTop="1" x14ac:dyDescent="0.25">
      <c r="A6" s="1671"/>
      <c r="B6" s="1700" t="s">
        <v>65</v>
      </c>
      <c r="C6" s="348"/>
      <c r="D6" s="114"/>
      <c r="E6" s="47"/>
      <c r="F6" s="12"/>
      <c r="G6" s="87"/>
      <c r="H6" s="5"/>
    </row>
    <row r="7" spans="1:8" ht="16.5" customHeight="1" thickBot="1" x14ac:dyDescent="0.3">
      <c r="A7" s="1671"/>
      <c r="B7" s="1701"/>
      <c r="C7" s="349"/>
      <c r="D7" s="114"/>
      <c r="E7" s="340"/>
      <c r="F7" s="72"/>
      <c r="G7" s="5">
        <f>D28</f>
        <v>320</v>
      </c>
      <c r="H7" s="457">
        <f>E7-G7</f>
        <v>-320</v>
      </c>
    </row>
    <row r="8" spans="1:8" ht="16.5" customHeight="1" thickBot="1" x14ac:dyDescent="0.3">
      <c r="A8" s="487"/>
      <c r="B8" s="328"/>
      <c r="C8" s="349"/>
      <c r="D8" s="114"/>
      <c r="E8" s="340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1">
        <f>F4+F5+F6+F7+F8-C10</f>
        <v>0</v>
      </c>
      <c r="C10" s="15"/>
      <c r="D10" s="120">
        <v>0</v>
      </c>
      <c r="E10" s="423"/>
      <c r="F10" s="424">
        <f>D10</f>
        <v>0</v>
      </c>
      <c r="G10" s="425"/>
      <c r="H10" s="276"/>
    </row>
    <row r="11" spans="1:8" x14ac:dyDescent="0.25">
      <c r="B11" s="341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1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1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1">
        <f t="shared" si="0"/>
        <v>0</v>
      </c>
      <c r="C14" s="15"/>
      <c r="D14" s="120">
        <v>20</v>
      </c>
      <c r="E14" s="506"/>
      <c r="F14" s="102">
        <f t="shared" si="1"/>
        <v>20</v>
      </c>
      <c r="G14" s="314"/>
      <c r="H14" s="315"/>
    </row>
    <row r="15" spans="1:8" x14ac:dyDescent="0.25">
      <c r="A15" s="19"/>
      <c r="B15" s="341">
        <f t="shared" si="0"/>
        <v>0</v>
      </c>
      <c r="C15" s="15"/>
      <c r="D15" s="120">
        <v>20</v>
      </c>
      <c r="E15" s="506"/>
      <c r="F15" s="102">
        <f t="shared" si="1"/>
        <v>20</v>
      </c>
      <c r="G15" s="314"/>
      <c r="H15" s="315"/>
    </row>
    <row r="16" spans="1:8" x14ac:dyDescent="0.25">
      <c r="B16" s="341">
        <f t="shared" si="0"/>
        <v>0</v>
      </c>
      <c r="C16" s="15"/>
      <c r="D16" s="120">
        <v>20</v>
      </c>
      <c r="E16" s="525"/>
      <c r="F16" s="102">
        <f t="shared" si="1"/>
        <v>20</v>
      </c>
      <c r="G16" s="524"/>
      <c r="H16" s="358"/>
    </row>
    <row r="17" spans="1:8" x14ac:dyDescent="0.25">
      <c r="B17" s="341">
        <f t="shared" si="0"/>
        <v>0</v>
      </c>
      <c r="C17" s="15"/>
      <c r="D17" s="120">
        <v>20</v>
      </c>
      <c r="E17" s="525"/>
      <c r="F17" s="102">
        <f t="shared" si="1"/>
        <v>20</v>
      </c>
      <c r="G17" s="524"/>
      <c r="H17" s="358"/>
    </row>
    <row r="18" spans="1:8" x14ac:dyDescent="0.25">
      <c r="B18" s="341">
        <f t="shared" si="0"/>
        <v>0</v>
      </c>
      <c r="C18" s="15"/>
      <c r="D18" s="120">
        <v>20</v>
      </c>
      <c r="E18" s="525"/>
      <c r="F18" s="102">
        <f t="shared" si="1"/>
        <v>20</v>
      </c>
      <c r="G18" s="524"/>
      <c r="H18" s="358"/>
    </row>
    <row r="19" spans="1:8" x14ac:dyDescent="0.25">
      <c r="B19" s="341">
        <f t="shared" si="0"/>
        <v>0</v>
      </c>
      <c r="C19" s="15"/>
      <c r="D19" s="120">
        <v>20</v>
      </c>
      <c r="E19" s="525"/>
      <c r="F19" s="102">
        <f t="shared" si="1"/>
        <v>20</v>
      </c>
      <c r="G19" s="524"/>
      <c r="H19" s="358"/>
    </row>
    <row r="20" spans="1:8" x14ac:dyDescent="0.25">
      <c r="B20" s="341">
        <f t="shared" si="0"/>
        <v>0</v>
      </c>
      <c r="C20" s="15"/>
      <c r="D20" s="120">
        <v>20</v>
      </c>
      <c r="E20" s="525"/>
      <c r="F20" s="102">
        <f t="shared" si="1"/>
        <v>20</v>
      </c>
      <c r="G20" s="524"/>
      <c r="H20" s="358"/>
    </row>
    <row r="21" spans="1:8" x14ac:dyDescent="0.25">
      <c r="B21" s="341">
        <f t="shared" si="0"/>
        <v>0</v>
      </c>
      <c r="C21" s="15"/>
      <c r="D21" s="120">
        <v>20</v>
      </c>
      <c r="E21" s="525"/>
      <c r="F21" s="102">
        <f t="shared" si="1"/>
        <v>20</v>
      </c>
      <c r="G21" s="524"/>
      <c r="H21" s="358"/>
    </row>
    <row r="22" spans="1:8" x14ac:dyDescent="0.25">
      <c r="B22" s="341">
        <f t="shared" si="0"/>
        <v>0</v>
      </c>
      <c r="C22" s="15"/>
      <c r="D22" s="120">
        <v>20</v>
      </c>
      <c r="E22" s="525"/>
      <c r="F22" s="102">
        <f t="shared" si="1"/>
        <v>20</v>
      </c>
      <c r="G22" s="524"/>
      <c r="H22" s="358"/>
    </row>
    <row r="23" spans="1:8" x14ac:dyDescent="0.25">
      <c r="B23" s="341">
        <f t="shared" si="0"/>
        <v>0</v>
      </c>
      <c r="C23" s="15"/>
      <c r="D23" s="120">
        <v>20</v>
      </c>
      <c r="E23" s="525"/>
      <c r="F23" s="102">
        <f t="shared" si="1"/>
        <v>20</v>
      </c>
      <c r="G23" s="524"/>
      <c r="H23" s="358"/>
    </row>
    <row r="24" spans="1:8" x14ac:dyDescent="0.25">
      <c r="B24" s="341">
        <f t="shared" si="0"/>
        <v>0</v>
      </c>
      <c r="C24" s="15"/>
      <c r="D24" s="120">
        <v>20</v>
      </c>
      <c r="E24" s="525"/>
      <c r="F24" s="102">
        <f t="shared" si="1"/>
        <v>20</v>
      </c>
      <c r="G24" s="524"/>
      <c r="H24" s="358"/>
    </row>
    <row r="25" spans="1:8" x14ac:dyDescent="0.25">
      <c r="B25" s="341">
        <f t="shared" si="0"/>
        <v>0</v>
      </c>
      <c r="C25" s="15"/>
      <c r="D25" s="120">
        <v>20</v>
      </c>
      <c r="E25" s="525"/>
      <c r="F25" s="102">
        <f t="shared" si="1"/>
        <v>20</v>
      </c>
      <c r="G25" s="524"/>
      <c r="H25" s="358"/>
    </row>
    <row r="26" spans="1:8" x14ac:dyDescent="0.25">
      <c r="B26" s="341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2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655" t="s">
        <v>21</v>
      </c>
      <c r="E30" s="1656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12" sqref="G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663" t="s">
        <v>316</v>
      </c>
      <c r="B1" s="1663"/>
      <c r="C1" s="1663"/>
      <c r="D1" s="1663"/>
      <c r="E1" s="1663"/>
      <c r="F1" s="1663"/>
      <c r="G1" s="166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667" t="s">
        <v>98</v>
      </c>
      <c r="B5" s="1702" t="s">
        <v>112</v>
      </c>
      <c r="C5" s="65">
        <v>65</v>
      </c>
      <c r="D5" s="130">
        <v>45099</v>
      </c>
      <c r="E5" s="436">
        <v>561.91999999999996</v>
      </c>
      <c r="F5" s="72">
        <v>20</v>
      </c>
      <c r="G5" s="857"/>
    </row>
    <row r="6" spans="1:9" x14ac:dyDescent="0.25">
      <c r="A6" s="1667"/>
      <c r="B6" s="1702"/>
      <c r="C6" s="65"/>
      <c r="D6" s="130"/>
      <c r="E6" s="102"/>
      <c r="F6" s="72"/>
      <c r="G6" s="87">
        <f>F27</f>
        <v>473.25</v>
      </c>
      <c r="H6" s="7">
        <f>E6-G6+E5+E7+E4</f>
        <v>88.669999999999959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6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642">
        <f>F5+F6+F7-C9+F4</f>
        <v>20</v>
      </c>
      <c r="C9" s="72"/>
      <c r="D9" s="565">
        <v>0</v>
      </c>
      <c r="E9" s="640"/>
      <c r="F9" s="596">
        <f t="shared" ref="F9:F26" si="0">D9</f>
        <v>0</v>
      </c>
      <c r="G9" s="563"/>
      <c r="H9" s="564"/>
      <c r="I9" s="630">
        <f>E5+E6+E7-F9+E4</f>
        <v>561.91999999999996</v>
      </c>
    </row>
    <row r="10" spans="1:9" x14ac:dyDescent="0.25">
      <c r="B10" s="724">
        <f>B9-C10</f>
        <v>13</v>
      </c>
      <c r="C10" s="576">
        <v>7</v>
      </c>
      <c r="D10" s="565">
        <v>239.43</v>
      </c>
      <c r="E10" s="640">
        <v>45110</v>
      </c>
      <c r="F10" s="596">
        <f t="shared" si="0"/>
        <v>239.43</v>
      </c>
      <c r="G10" s="563" t="s">
        <v>497</v>
      </c>
      <c r="H10" s="564">
        <v>67</v>
      </c>
      <c r="I10" s="560">
        <f>I9-F10</f>
        <v>322.48999999999995</v>
      </c>
    </row>
    <row r="11" spans="1:9" x14ac:dyDescent="0.25">
      <c r="B11" s="724">
        <f>B10-C11</f>
        <v>6</v>
      </c>
      <c r="C11" s="576">
        <v>7</v>
      </c>
      <c r="D11" s="565">
        <v>233.82</v>
      </c>
      <c r="E11" s="640">
        <v>45135</v>
      </c>
      <c r="F11" s="596">
        <f t="shared" si="0"/>
        <v>233.82</v>
      </c>
      <c r="G11" s="563" t="s">
        <v>721</v>
      </c>
      <c r="H11" s="564">
        <v>65</v>
      </c>
      <c r="I11" s="560">
        <f t="shared" ref="I11:I26" si="1">I10-F11</f>
        <v>88.669999999999959</v>
      </c>
    </row>
    <row r="12" spans="1:9" x14ac:dyDescent="0.25">
      <c r="A12" s="54" t="s">
        <v>33</v>
      </c>
      <c r="B12" s="724">
        <f t="shared" ref="B12:B14" si="2">B11-C12</f>
        <v>6</v>
      </c>
      <c r="C12" s="576"/>
      <c r="D12" s="565">
        <v>0</v>
      </c>
      <c r="E12" s="640"/>
      <c r="F12" s="596">
        <f t="shared" si="0"/>
        <v>0</v>
      </c>
      <c r="G12" s="563"/>
      <c r="H12" s="564"/>
      <c r="I12" s="560">
        <f t="shared" si="1"/>
        <v>88.669999999999959</v>
      </c>
    </row>
    <row r="13" spans="1:9" x14ac:dyDescent="0.25">
      <c r="B13" s="724">
        <f t="shared" si="2"/>
        <v>6</v>
      </c>
      <c r="C13" s="576"/>
      <c r="D13" s="565">
        <v>0</v>
      </c>
      <c r="E13" s="640"/>
      <c r="F13" s="596">
        <f t="shared" si="0"/>
        <v>0</v>
      </c>
      <c r="G13" s="563"/>
      <c r="H13" s="564"/>
      <c r="I13" s="560">
        <f t="shared" si="1"/>
        <v>88.669999999999959</v>
      </c>
    </row>
    <row r="14" spans="1:9" x14ac:dyDescent="0.25">
      <c r="A14" s="19"/>
      <c r="B14" s="724">
        <f t="shared" si="2"/>
        <v>6</v>
      </c>
      <c r="C14" s="576"/>
      <c r="D14" s="565">
        <v>0</v>
      </c>
      <c r="E14" s="640"/>
      <c r="F14" s="596">
        <f t="shared" si="0"/>
        <v>0</v>
      </c>
      <c r="G14" s="563"/>
      <c r="H14" s="564"/>
      <c r="I14" s="560">
        <f t="shared" si="1"/>
        <v>88.669999999999959</v>
      </c>
    </row>
    <row r="15" spans="1:9" x14ac:dyDescent="0.25">
      <c r="B15" s="724">
        <f>B14-C15</f>
        <v>6</v>
      </c>
      <c r="C15" s="576"/>
      <c r="D15" s="565">
        <v>0</v>
      </c>
      <c r="E15" s="640"/>
      <c r="F15" s="596">
        <f t="shared" si="0"/>
        <v>0</v>
      </c>
      <c r="G15" s="563"/>
      <c r="H15" s="564"/>
      <c r="I15" s="560">
        <f t="shared" si="1"/>
        <v>88.669999999999959</v>
      </c>
    </row>
    <row r="16" spans="1:9" x14ac:dyDescent="0.25">
      <c r="B16" s="724">
        <f t="shared" ref="B16:B26" si="3">B15-C16</f>
        <v>6</v>
      </c>
      <c r="C16" s="576"/>
      <c r="D16" s="565">
        <v>0</v>
      </c>
      <c r="E16" s="640"/>
      <c r="F16" s="596">
        <f t="shared" si="0"/>
        <v>0</v>
      </c>
      <c r="G16" s="563"/>
      <c r="H16" s="564"/>
      <c r="I16" s="560">
        <f t="shared" si="1"/>
        <v>88.669999999999959</v>
      </c>
    </row>
    <row r="17" spans="1:9" x14ac:dyDescent="0.25">
      <c r="B17" s="724">
        <f t="shared" si="3"/>
        <v>6</v>
      </c>
      <c r="C17" s="576"/>
      <c r="D17" s="565">
        <v>0</v>
      </c>
      <c r="E17" s="640"/>
      <c r="F17" s="596">
        <f t="shared" si="0"/>
        <v>0</v>
      </c>
      <c r="G17" s="563"/>
      <c r="H17" s="564"/>
      <c r="I17" s="560">
        <f t="shared" si="1"/>
        <v>88.669999999999959</v>
      </c>
    </row>
    <row r="18" spans="1:9" x14ac:dyDescent="0.25">
      <c r="B18" s="724">
        <f t="shared" si="3"/>
        <v>6</v>
      </c>
      <c r="C18" s="576"/>
      <c r="D18" s="565">
        <v>0</v>
      </c>
      <c r="E18" s="640"/>
      <c r="F18" s="596">
        <f t="shared" si="0"/>
        <v>0</v>
      </c>
      <c r="G18" s="563"/>
      <c r="H18" s="564"/>
      <c r="I18" s="560">
        <f t="shared" si="1"/>
        <v>88.669999999999959</v>
      </c>
    </row>
    <row r="19" spans="1:9" x14ac:dyDescent="0.25">
      <c r="B19" s="724">
        <f t="shared" si="3"/>
        <v>6</v>
      </c>
      <c r="C19" s="576"/>
      <c r="D19" s="565">
        <v>0</v>
      </c>
      <c r="E19" s="640"/>
      <c r="F19" s="596">
        <f t="shared" si="0"/>
        <v>0</v>
      </c>
      <c r="G19" s="563"/>
      <c r="H19" s="564"/>
      <c r="I19" s="560">
        <f t="shared" si="1"/>
        <v>88.669999999999959</v>
      </c>
    </row>
    <row r="20" spans="1:9" x14ac:dyDescent="0.25">
      <c r="B20" s="724">
        <f t="shared" si="3"/>
        <v>6</v>
      </c>
      <c r="C20" s="576"/>
      <c r="D20" s="565">
        <v>0</v>
      </c>
      <c r="E20" s="640"/>
      <c r="F20" s="596">
        <f t="shared" si="0"/>
        <v>0</v>
      </c>
      <c r="G20" s="563"/>
      <c r="H20" s="564"/>
      <c r="I20" s="560">
        <f t="shared" si="1"/>
        <v>88.669999999999959</v>
      </c>
    </row>
    <row r="21" spans="1:9" x14ac:dyDescent="0.25">
      <c r="B21" s="724">
        <f t="shared" si="3"/>
        <v>6</v>
      </c>
      <c r="C21" s="576"/>
      <c r="D21" s="565">
        <v>0</v>
      </c>
      <c r="E21" s="640"/>
      <c r="F21" s="596">
        <f t="shared" si="0"/>
        <v>0</v>
      </c>
      <c r="G21" s="563"/>
      <c r="H21" s="564"/>
      <c r="I21" s="560">
        <f t="shared" si="1"/>
        <v>88.669999999999959</v>
      </c>
    </row>
    <row r="22" spans="1:9" x14ac:dyDescent="0.25">
      <c r="B22" s="724">
        <f t="shared" si="3"/>
        <v>6</v>
      </c>
      <c r="C22" s="576"/>
      <c r="D22" s="565">
        <v>0</v>
      </c>
      <c r="E22" s="640"/>
      <c r="F22" s="596">
        <f t="shared" si="0"/>
        <v>0</v>
      </c>
      <c r="G22" s="563"/>
      <c r="H22" s="564"/>
      <c r="I22" s="560">
        <f t="shared" si="1"/>
        <v>88.669999999999959</v>
      </c>
    </row>
    <row r="23" spans="1:9" x14ac:dyDescent="0.25">
      <c r="B23" s="724">
        <f t="shared" si="3"/>
        <v>6</v>
      </c>
      <c r="C23" s="624"/>
      <c r="D23" s="565">
        <v>0</v>
      </c>
      <c r="E23" s="640"/>
      <c r="F23" s="596">
        <f t="shared" si="0"/>
        <v>0</v>
      </c>
      <c r="G23" s="563"/>
      <c r="H23" s="564"/>
      <c r="I23" s="560">
        <f t="shared" si="1"/>
        <v>88.669999999999959</v>
      </c>
    </row>
    <row r="24" spans="1:9" x14ac:dyDescent="0.25">
      <c r="B24" s="724">
        <f t="shared" si="3"/>
        <v>6</v>
      </c>
      <c r="C24" s="624"/>
      <c r="D24" s="565">
        <v>0</v>
      </c>
      <c r="E24" s="640"/>
      <c r="F24" s="596">
        <f t="shared" si="0"/>
        <v>0</v>
      </c>
      <c r="G24" s="563"/>
      <c r="H24" s="564"/>
      <c r="I24" s="560">
        <f t="shared" si="1"/>
        <v>88.669999999999959</v>
      </c>
    </row>
    <row r="25" spans="1:9" x14ac:dyDescent="0.25">
      <c r="B25" s="382">
        <f t="shared" si="3"/>
        <v>6</v>
      </c>
      <c r="C25" s="15"/>
      <c r="D25" s="68">
        <v>0</v>
      </c>
      <c r="E25" s="827"/>
      <c r="F25" s="102">
        <f t="shared" si="0"/>
        <v>0</v>
      </c>
      <c r="G25" s="69"/>
      <c r="H25" s="70"/>
      <c r="I25" s="128">
        <f t="shared" si="1"/>
        <v>88.669999999999959</v>
      </c>
    </row>
    <row r="26" spans="1:9" ht="15.75" thickBot="1" x14ac:dyDescent="0.3">
      <c r="A26" s="117"/>
      <c r="B26" s="832">
        <f t="shared" si="3"/>
        <v>6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88.669999999999959</v>
      </c>
    </row>
    <row r="27" spans="1:9" ht="15.75" thickTop="1" x14ac:dyDescent="0.25">
      <c r="A27" s="47">
        <f>SUM(A26:A26)</f>
        <v>0</v>
      </c>
      <c r="C27" s="72">
        <f>SUM(C9:C26)</f>
        <v>14</v>
      </c>
      <c r="D27" s="102">
        <f>SUM(D9:D26)</f>
        <v>473.25</v>
      </c>
      <c r="E27" s="74"/>
      <c r="F27" s="102">
        <f>SUM(F9:F26)</f>
        <v>473.25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55" t="s">
        <v>21</v>
      </c>
      <c r="E29" s="1656"/>
      <c r="F29" s="137">
        <f>E5+E6-F27+E7+E4</f>
        <v>88.669999999999959</v>
      </c>
    </row>
    <row r="30" spans="1:9" ht="15.75" thickBot="1" x14ac:dyDescent="0.3">
      <c r="A30" s="121"/>
      <c r="D30" s="855" t="s">
        <v>4</v>
      </c>
      <c r="E30" s="856"/>
      <c r="F30" s="49">
        <f>F5+F6-C27+F7+F4</f>
        <v>6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pane ySplit="8" topLeftCell="A9" activePane="bottomLeft" state="frozen"/>
      <selection pane="bottomLeft" activeCell="R27" sqref="R27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703" t="s">
        <v>317</v>
      </c>
      <c r="B1" s="1703"/>
      <c r="C1" s="1703"/>
      <c r="D1" s="1703"/>
      <c r="E1" s="1703"/>
      <c r="F1" s="1703"/>
      <c r="G1" s="1703"/>
      <c r="H1" s="1703"/>
      <c r="I1" s="1703"/>
      <c r="J1" s="1703"/>
      <c r="K1" s="437">
        <v>1</v>
      </c>
      <c r="M1" s="1706" t="s">
        <v>439</v>
      </c>
      <c r="N1" s="1706"/>
      <c r="O1" s="1706"/>
      <c r="P1" s="1706"/>
      <c r="Q1" s="1706"/>
      <c r="R1" s="1706"/>
      <c r="S1" s="1706"/>
      <c r="T1" s="1706"/>
      <c r="U1" s="1706"/>
      <c r="V1" s="1706"/>
      <c r="W1" s="437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560">
        <v>18479.54</v>
      </c>
      <c r="E4" s="560">
        <v>264.06</v>
      </c>
      <c r="F4" s="576">
        <v>10</v>
      </c>
      <c r="G4" s="357"/>
      <c r="N4" s="228"/>
      <c r="O4" s="381">
        <v>18234.72</v>
      </c>
      <c r="P4" s="580"/>
      <c r="Q4" s="560">
        <v>233.88</v>
      </c>
      <c r="R4" s="576">
        <v>9</v>
      </c>
      <c r="S4" s="357"/>
    </row>
    <row r="5" spans="1:23" ht="15.75" customHeight="1" thickTop="1" x14ac:dyDescent="0.25">
      <c r="A5" s="1704" t="s">
        <v>157</v>
      </c>
      <c r="B5" s="468" t="s">
        <v>48</v>
      </c>
      <c r="C5" s="662">
        <v>70.8</v>
      </c>
      <c r="D5" s="580">
        <v>45082</v>
      </c>
      <c r="E5" s="560">
        <v>18479.54</v>
      </c>
      <c r="F5" s="576">
        <v>679</v>
      </c>
      <c r="G5" s="47">
        <f>F115</f>
        <v>18743.479999999996</v>
      </c>
      <c r="H5" s="150">
        <f>E5+E6-G5+E4</f>
        <v>5.9685589803848416E-12</v>
      </c>
      <c r="M5" s="1704" t="s">
        <v>80</v>
      </c>
      <c r="N5" s="468" t="s">
        <v>48</v>
      </c>
      <c r="O5" s="662">
        <v>74</v>
      </c>
      <c r="P5" s="580">
        <v>45131</v>
      </c>
      <c r="Q5" s="560">
        <v>18234.72</v>
      </c>
      <c r="R5" s="576">
        <v>670</v>
      </c>
      <c r="S5" s="47">
        <f>R115</f>
        <v>2531.4599999999996</v>
      </c>
      <c r="T5" s="150">
        <f>Q5+Q6-S5+Q4</f>
        <v>15937.140000000001</v>
      </c>
    </row>
    <row r="6" spans="1:23" ht="15.75" customHeight="1" x14ac:dyDescent="0.25">
      <c r="A6" s="1705"/>
      <c r="B6" s="552" t="s">
        <v>87</v>
      </c>
      <c r="C6" s="663"/>
      <c r="D6" s="580"/>
      <c r="E6" s="644">
        <v>-0.12</v>
      </c>
      <c r="F6" s="664"/>
      <c r="M6" s="1705"/>
      <c r="N6" s="552" t="s">
        <v>87</v>
      </c>
      <c r="O6" s="663"/>
      <c r="P6" s="580"/>
      <c r="Q6" s="644"/>
      <c r="R6" s="664"/>
    </row>
    <row r="7" spans="1:23" ht="15.75" customHeight="1" thickBot="1" x14ac:dyDescent="0.3">
      <c r="A7" s="490"/>
      <c r="B7" s="154"/>
      <c r="C7" s="465"/>
      <c r="D7" s="466"/>
      <c r="E7" s="467"/>
      <c r="F7" s="439"/>
      <c r="M7" s="490"/>
      <c r="N7" s="154"/>
      <c r="O7" s="465"/>
      <c r="P7" s="466"/>
      <c r="Q7" s="467"/>
      <c r="R7" s="439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8" t="s">
        <v>57</v>
      </c>
      <c r="I8" s="1045" t="s">
        <v>58</v>
      </c>
      <c r="J8" s="1045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8" t="s">
        <v>57</v>
      </c>
      <c r="U8" s="1422" t="s">
        <v>58</v>
      </c>
      <c r="V8" s="1422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2">
        <v>0</v>
      </c>
      <c r="F9" s="68">
        <f t="shared" ref="F9:F72" si="1">D9</f>
        <v>0</v>
      </c>
      <c r="G9" s="69">
        <v>0</v>
      </c>
      <c r="H9" s="564">
        <v>0</v>
      </c>
      <c r="I9" s="931">
        <f>E5-F9+E4+E6+E7</f>
        <v>18743.480000000003</v>
      </c>
      <c r="J9" s="932">
        <f>F5-C9+F4+F6+F7</f>
        <v>689</v>
      </c>
      <c r="K9" s="399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43">
        <v>0</v>
      </c>
      <c r="R9" s="565">
        <f t="shared" ref="R9:R72" si="3">P9</f>
        <v>0</v>
      </c>
      <c r="S9" s="563">
        <v>0</v>
      </c>
      <c r="T9" s="564">
        <v>0</v>
      </c>
      <c r="U9" s="1428">
        <f>Q5-R9+Q4+Q6+Q7</f>
        <v>18468.600000000002</v>
      </c>
      <c r="V9" s="1429">
        <f>R5-O9+R4+R6+R7</f>
        <v>679</v>
      </c>
      <c r="W9" s="399">
        <f>R9*T9</f>
        <v>0</v>
      </c>
    </row>
    <row r="10" spans="1:23" x14ac:dyDescent="0.25">
      <c r="A10" s="491"/>
      <c r="B10">
        <v>27.22</v>
      </c>
      <c r="C10" s="15">
        <v>24</v>
      </c>
      <c r="D10" s="1202">
        <f t="shared" si="0"/>
        <v>653.28</v>
      </c>
      <c r="E10" s="1203">
        <v>45101</v>
      </c>
      <c r="F10" s="1202">
        <f t="shared" si="1"/>
        <v>653.28</v>
      </c>
      <c r="G10" s="1204" t="s">
        <v>258</v>
      </c>
      <c r="H10" s="1205">
        <v>77</v>
      </c>
      <c r="I10" s="400">
        <f>I9-F10</f>
        <v>18090.200000000004</v>
      </c>
      <c r="J10" s="401">
        <f>J9-C10</f>
        <v>665</v>
      </c>
      <c r="K10" s="402">
        <f t="shared" ref="K10:K73" si="4">F10*H10</f>
        <v>50302.559999999998</v>
      </c>
      <c r="M10" s="491"/>
      <c r="N10">
        <v>27.22</v>
      </c>
      <c r="O10" s="15">
        <v>24</v>
      </c>
      <c r="P10" s="68">
        <f t="shared" si="2"/>
        <v>653.28</v>
      </c>
      <c r="Q10" s="643">
        <v>45134</v>
      </c>
      <c r="R10" s="565">
        <f t="shared" si="3"/>
        <v>653.28</v>
      </c>
      <c r="S10" s="563" t="s">
        <v>707</v>
      </c>
      <c r="T10" s="564">
        <v>79</v>
      </c>
      <c r="U10" s="759">
        <f>U9-R10</f>
        <v>17815.320000000003</v>
      </c>
      <c r="V10" s="760">
        <f>V9-O10</f>
        <v>655</v>
      </c>
      <c r="W10" s="402">
        <f t="shared" ref="W10:W73" si="5">R10*T10</f>
        <v>51609.119999999995</v>
      </c>
    </row>
    <row r="11" spans="1:23" x14ac:dyDescent="0.25">
      <c r="A11" s="492"/>
      <c r="B11">
        <v>27.22</v>
      </c>
      <c r="C11" s="15">
        <v>2</v>
      </c>
      <c r="D11" s="1193">
        <f t="shared" si="0"/>
        <v>54.44</v>
      </c>
      <c r="E11" s="1192">
        <v>45101</v>
      </c>
      <c r="F11" s="1193">
        <f t="shared" si="1"/>
        <v>54.44</v>
      </c>
      <c r="G11" s="1194" t="s">
        <v>259</v>
      </c>
      <c r="H11" s="1195">
        <v>77</v>
      </c>
      <c r="I11" s="400">
        <f t="shared" ref="I11:I74" si="6">I10-F11</f>
        <v>18035.760000000006</v>
      </c>
      <c r="J11" s="401">
        <f t="shared" ref="J11" si="7">J10-C11</f>
        <v>663</v>
      </c>
      <c r="K11" s="402">
        <f t="shared" si="4"/>
        <v>4191.88</v>
      </c>
      <c r="M11" s="492"/>
      <c r="N11">
        <v>27.22</v>
      </c>
      <c r="O11" s="15">
        <v>2</v>
      </c>
      <c r="P11" s="68">
        <f t="shared" si="2"/>
        <v>54.44</v>
      </c>
      <c r="Q11" s="643">
        <v>45134</v>
      </c>
      <c r="R11" s="565">
        <f t="shared" si="3"/>
        <v>54.44</v>
      </c>
      <c r="S11" s="563" t="s">
        <v>705</v>
      </c>
      <c r="T11" s="564">
        <v>79</v>
      </c>
      <c r="U11" s="759">
        <f t="shared" ref="U11:U74" si="8">U10-R11</f>
        <v>17760.880000000005</v>
      </c>
      <c r="V11" s="760">
        <f t="shared" ref="V11" si="9">V10-O11</f>
        <v>653</v>
      </c>
      <c r="W11" s="402">
        <f t="shared" si="5"/>
        <v>4300.76</v>
      </c>
    </row>
    <row r="12" spans="1:23" x14ac:dyDescent="0.25">
      <c r="A12" s="54" t="s">
        <v>33</v>
      </c>
      <c r="B12">
        <v>27.22</v>
      </c>
      <c r="C12" s="15">
        <v>3</v>
      </c>
      <c r="D12" s="1209">
        <f t="shared" si="0"/>
        <v>81.66</v>
      </c>
      <c r="E12" s="1210">
        <v>45103</v>
      </c>
      <c r="F12" s="1193">
        <f t="shared" si="1"/>
        <v>81.66</v>
      </c>
      <c r="G12" s="1194" t="s">
        <v>266</v>
      </c>
      <c r="H12" s="1189">
        <v>75</v>
      </c>
      <c r="I12" s="759">
        <f t="shared" si="6"/>
        <v>17954.100000000006</v>
      </c>
      <c r="J12" s="760">
        <f>J11-C12</f>
        <v>660</v>
      </c>
      <c r="K12" s="402">
        <f t="shared" si="4"/>
        <v>6124.5</v>
      </c>
      <c r="M12" s="54" t="s">
        <v>33</v>
      </c>
      <c r="N12">
        <v>27.22</v>
      </c>
      <c r="O12" s="15">
        <v>10</v>
      </c>
      <c r="P12" s="282">
        <f t="shared" si="2"/>
        <v>272.2</v>
      </c>
      <c r="Q12" s="640">
        <v>45134</v>
      </c>
      <c r="R12" s="565">
        <f t="shared" si="3"/>
        <v>272.2</v>
      </c>
      <c r="S12" s="563" t="s">
        <v>713</v>
      </c>
      <c r="T12" s="564">
        <v>79</v>
      </c>
      <c r="U12" s="759">
        <f t="shared" si="8"/>
        <v>17488.680000000004</v>
      </c>
      <c r="V12" s="760">
        <f>V11-O12</f>
        <v>643</v>
      </c>
      <c r="W12" s="402">
        <f t="shared" si="5"/>
        <v>21503.8</v>
      </c>
    </row>
    <row r="13" spans="1:23" ht="15" customHeight="1" x14ac:dyDescent="0.25">
      <c r="A13" s="380"/>
      <c r="B13">
        <v>27.22</v>
      </c>
      <c r="C13" s="15">
        <v>24</v>
      </c>
      <c r="D13" s="1209">
        <f t="shared" si="0"/>
        <v>653.28</v>
      </c>
      <c r="E13" s="1210">
        <v>45103</v>
      </c>
      <c r="F13" s="1193">
        <f t="shared" si="1"/>
        <v>653.28</v>
      </c>
      <c r="G13" s="1194" t="s">
        <v>268</v>
      </c>
      <c r="H13" s="1189">
        <v>77</v>
      </c>
      <c r="I13" s="759">
        <f t="shared" si="6"/>
        <v>17300.820000000007</v>
      </c>
      <c r="J13" s="760">
        <f t="shared" ref="J13:J76" si="10">J12-C13</f>
        <v>636</v>
      </c>
      <c r="K13" s="402">
        <f t="shared" si="4"/>
        <v>50302.559999999998</v>
      </c>
      <c r="M13" s="380"/>
      <c r="N13">
        <v>27.22</v>
      </c>
      <c r="O13" s="15">
        <v>24</v>
      </c>
      <c r="P13" s="282">
        <f t="shared" si="2"/>
        <v>653.28</v>
      </c>
      <c r="Q13" s="640">
        <v>45135</v>
      </c>
      <c r="R13" s="565">
        <f t="shared" si="3"/>
        <v>653.28</v>
      </c>
      <c r="S13" s="563" t="s">
        <v>716</v>
      </c>
      <c r="T13" s="564">
        <v>79</v>
      </c>
      <c r="U13" s="759">
        <f t="shared" si="8"/>
        <v>16835.400000000005</v>
      </c>
      <c r="V13" s="760">
        <f t="shared" ref="V13:V76" si="11">V12-O13</f>
        <v>619</v>
      </c>
      <c r="W13" s="402">
        <f t="shared" si="5"/>
        <v>51609.119999999995</v>
      </c>
    </row>
    <row r="14" spans="1:23" x14ac:dyDescent="0.25">
      <c r="A14" s="380"/>
      <c r="B14">
        <v>27.22</v>
      </c>
      <c r="C14" s="15">
        <v>1</v>
      </c>
      <c r="D14" s="1209">
        <f t="shared" si="0"/>
        <v>27.22</v>
      </c>
      <c r="E14" s="1210">
        <v>45104</v>
      </c>
      <c r="F14" s="1193">
        <f t="shared" si="1"/>
        <v>27.22</v>
      </c>
      <c r="G14" s="1194" t="s">
        <v>272</v>
      </c>
      <c r="H14" s="1189">
        <v>77</v>
      </c>
      <c r="I14" s="759">
        <f t="shared" si="6"/>
        <v>17273.600000000006</v>
      </c>
      <c r="J14" s="760">
        <f t="shared" si="10"/>
        <v>635</v>
      </c>
      <c r="K14" s="851">
        <f t="shared" si="4"/>
        <v>2095.94</v>
      </c>
      <c r="M14" s="380"/>
      <c r="N14">
        <v>27.22</v>
      </c>
      <c r="O14" s="15">
        <v>24</v>
      </c>
      <c r="P14" s="282">
        <f t="shared" si="2"/>
        <v>653.28</v>
      </c>
      <c r="Q14" s="640">
        <v>45135</v>
      </c>
      <c r="R14" s="565">
        <f t="shared" si="3"/>
        <v>653.28</v>
      </c>
      <c r="S14" s="563" t="s">
        <v>717</v>
      </c>
      <c r="T14" s="564">
        <v>79</v>
      </c>
      <c r="U14" s="759">
        <f t="shared" si="8"/>
        <v>16182.120000000004</v>
      </c>
      <c r="V14" s="760">
        <f t="shared" si="11"/>
        <v>595</v>
      </c>
      <c r="W14" s="851">
        <f t="shared" si="5"/>
        <v>51609.119999999995</v>
      </c>
    </row>
    <row r="15" spans="1:23" x14ac:dyDescent="0.25">
      <c r="A15" s="380"/>
      <c r="B15">
        <v>27.22</v>
      </c>
      <c r="C15" s="15">
        <v>1</v>
      </c>
      <c r="D15" s="1209">
        <f t="shared" si="0"/>
        <v>27.22</v>
      </c>
      <c r="E15" s="1210">
        <v>45104</v>
      </c>
      <c r="F15" s="1193">
        <f t="shared" si="1"/>
        <v>27.22</v>
      </c>
      <c r="G15" s="1194" t="s">
        <v>272</v>
      </c>
      <c r="H15" s="1189">
        <v>77</v>
      </c>
      <c r="I15" s="759">
        <f t="shared" si="6"/>
        <v>17246.380000000005</v>
      </c>
      <c r="J15" s="760">
        <f t="shared" si="10"/>
        <v>634</v>
      </c>
      <c r="K15" s="851">
        <f t="shared" si="4"/>
        <v>2095.94</v>
      </c>
      <c r="M15" s="380"/>
      <c r="N15">
        <v>27.22</v>
      </c>
      <c r="O15" s="15">
        <v>5</v>
      </c>
      <c r="P15" s="282">
        <f t="shared" si="2"/>
        <v>136.1</v>
      </c>
      <c r="Q15" s="640">
        <v>45136</v>
      </c>
      <c r="R15" s="565">
        <f t="shared" si="3"/>
        <v>136.1</v>
      </c>
      <c r="S15" s="563" t="s">
        <v>725</v>
      </c>
      <c r="T15" s="564">
        <v>79</v>
      </c>
      <c r="U15" s="759">
        <f t="shared" si="8"/>
        <v>16046.020000000004</v>
      </c>
      <c r="V15" s="760">
        <f t="shared" si="11"/>
        <v>590</v>
      </c>
      <c r="W15" s="851">
        <f t="shared" si="5"/>
        <v>10751.9</v>
      </c>
    </row>
    <row r="16" spans="1:23" x14ac:dyDescent="0.25">
      <c r="A16" s="380"/>
      <c r="B16">
        <v>27.22</v>
      </c>
      <c r="C16" s="15">
        <v>1</v>
      </c>
      <c r="D16" s="1209">
        <f t="shared" si="0"/>
        <v>27.22</v>
      </c>
      <c r="E16" s="1210">
        <v>45104</v>
      </c>
      <c r="F16" s="1193">
        <f t="shared" si="1"/>
        <v>27.22</v>
      </c>
      <c r="G16" s="1194" t="s">
        <v>276</v>
      </c>
      <c r="H16" s="1189">
        <v>77</v>
      </c>
      <c r="I16" s="759">
        <f t="shared" si="6"/>
        <v>17219.160000000003</v>
      </c>
      <c r="J16" s="760">
        <f t="shared" si="10"/>
        <v>633</v>
      </c>
      <c r="K16" s="851">
        <f t="shared" si="4"/>
        <v>2095.94</v>
      </c>
      <c r="M16" s="380"/>
      <c r="N16">
        <v>27.22</v>
      </c>
      <c r="O16" s="15">
        <v>3</v>
      </c>
      <c r="P16" s="282">
        <f t="shared" si="2"/>
        <v>81.66</v>
      </c>
      <c r="Q16" s="640">
        <v>45136</v>
      </c>
      <c r="R16" s="565">
        <f t="shared" si="3"/>
        <v>81.66</v>
      </c>
      <c r="S16" s="563" t="s">
        <v>727</v>
      </c>
      <c r="T16" s="564">
        <v>79</v>
      </c>
      <c r="U16" s="759">
        <f t="shared" si="8"/>
        <v>15964.360000000004</v>
      </c>
      <c r="V16" s="760">
        <f t="shared" si="11"/>
        <v>587</v>
      </c>
      <c r="W16" s="851">
        <f t="shared" si="5"/>
        <v>6451.1399999999994</v>
      </c>
    </row>
    <row r="17" spans="1:23" x14ac:dyDescent="0.25">
      <c r="A17" s="380"/>
      <c r="B17">
        <v>27.22</v>
      </c>
      <c r="C17" s="15">
        <v>1</v>
      </c>
      <c r="D17" s="1209">
        <f t="shared" si="0"/>
        <v>27.22</v>
      </c>
      <c r="E17" s="1210">
        <v>45104</v>
      </c>
      <c r="F17" s="1193">
        <f t="shared" si="1"/>
        <v>27.22</v>
      </c>
      <c r="G17" s="1194" t="s">
        <v>277</v>
      </c>
      <c r="H17" s="1189">
        <v>77</v>
      </c>
      <c r="I17" s="759">
        <f t="shared" si="6"/>
        <v>17191.940000000002</v>
      </c>
      <c r="J17" s="760">
        <f t="shared" si="10"/>
        <v>632</v>
      </c>
      <c r="K17" s="851">
        <f t="shared" si="4"/>
        <v>2095.94</v>
      </c>
      <c r="M17" s="380"/>
      <c r="N17">
        <v>27.22</v>
      </c>
      <c r="O17" s="15">
        <v>1</v>
      </c>
      <c r="P17" s="282">
        <f t="shared" si="2"/>
        <v>27.22</v>
      </c>
      <c r="Q17" s="640">
        <v>45136</v>
      </c>
      <c r="R17" s="565">
        <f t="shared" si="3"/>
        <v>27.22</v>
      </c>
      <c r="S17" s="563" t="s">
        <v>731</v>
      </c>
      <c r="T17" s="564">
        <v>79</v>
      </c>
      <c r="U17" s="759">
        <f t="shared" si="8"/>
        <v>15937.140000000005</v>
      </c>
      <c r="V17" s="760">
        <f t="shared" si="11"/>
        <v>586</v>
      </c>
      <c r="W17" s="851">
        <f t="shared" si="5"/>
        <v>2150.38</v>
      </c>
    </row>
    <row r="18" spans="1:23" x14ac:dyDescent="0.25">
      <c r="B18">
        <v>27.22</v>
      </c>
      <c r="C18" s="15">
        <v>2</v>
      </c>
      <c r="D18" s="1209">
        <f t="shared" si="0"/>
        <v>54.44</v>
      </c>
      <c r="E18" s="1210">
        <v>45105</v>
      </c>
      <c r="F18" s="1193">
        <f t="shared" si="1"/>
        <v>54.44</v>
      </c>
      <c r="G18" s="1194" t="s">
        <v>280</v>
      </c>
      <c r="H18" s="1189">
        <v>77</v>
      </c>
      <c r="I18" s="759">
        <f t="shared" si="6"/>
        <v>17137.500000000004</v>
      </c>
      <c r="J18" s="760">
        <f t="shared" si="10"/>
        <v>630</v>
      </c>
      <c r="K18" s="851">
        <f t="shared" si="4"/>
        <v>4191.88</v>
      </c>
      <c r="N18">
        <v>27.22</v>
      </c>
      <c r="O18" s="15"/>
      <c r="P18" s="282">
        <f t="shared" si="2"/>
        <v>0</v>
      </c>
      <c r="Q18" s="640"/>
      <c r="R18" s="565">
        <f t="shared" si="3"/>
        <v>0</v>
      </c>
      <c r="S18" s="563"/>
      <c r="T18" s="564"/>
      <c r="U18" s="759">
        <f t="shared" si="8"/>
        <v>15937.140000000005</v>
      </c>
      <c r="V18" s="760">
        <f t="shared" si="11"/>
        <v>586</v>
      </c>
      <c r="W18" s="851">
        <f t="shared" si="5"/>
        <v>0</v>
      </c>
    </row>
    <row r="19" spans="1:23" x14ac:dyDescent="0.25">
      <c r="B19">
        <v>27.22</v>
      </c>
      <c r="C19" s="15">
        <v>6</v>
      </c>
      <c r="D19" s="1209">
        <f t="shared" si="0"/>
        <v>163.32</v>
      </c>
      <c r="E19" s="1210">
        <v>45105</v>
      </c>
      <c r="F19" s="1193">
        <f t="shared" si="1"/>
        <v>163.32</v>
      </c>
      <c r="G19" s="1194" t="s">
        <v>282</v>
      </c>
      <c r="H19" s="1189">
        <v>77</v>
      </c>
      <c r="I19" s="759">
        <f t="shared" si="6"/>
        <v>16974.180000000004</v>
      </c>
      <c r="J19" s="760">
        <f t="shared" si="10"/>
        <v>624</v>
      </c>
      <c r="K19" s="851">
        <f t="shared" si="4"/>
        <v>12575.64</v>
      </c>
      <c r="N19">
        <v>27.22</v>
      </c>
      <c r="O19" s="15"/>
      <c r="P19" s="282">
        <f t="shared" si="2"/>
        <v>0</v>
      </c>
      <c r="Q19" s="640"/>
      <c r="R19" s="565">
        <f t="shared" si="3"/>
        <v>0</v>
      </c>
      <c r="S19" s="563"/>
      <c r="T19" s="564"/>
      <c r="U19" s="759">
        <f t="shared" si="8"/>
        <v>15937.140000000005</v>
      </c>
      <c r="V19" s="760">
        <f t="shared" si="11"/>
        <v>586</v>
      </c>
      <c r="W19" s="851">
        <f t="shared" si="5"/>
        <v>0</v>
      </c>
    </row>
    <row r="20" spans="1:23" x14ac:dyDescent="0.25">
      <c r="B20">
        <v>27.22</v>
      </c>
      <c r="C20" s="15">
        <v>4</v>
      </c>
      <c r="D20" s="1209">
        <f t="shared" si="0"/>
        <v>108.88</v>
      </c>
      <c r="E20" s="1210">
        <v>45105</v>
      </c>
      <c r="F20" s="1193">
        <f t="shared" si="1"/>
        <v>108.88</v>
      </c>
      <c r="G20" s="1194" t="s">
        <v>284</v>
      </c>
      <c r="H20" s="1195">
        <v>77</v>
      </c>
      <c r="I20" s="400">
        <f t="shared" si="6"/>
        <v>16865.300000000003</v>
      </c>
      <c r="J20" s="401">
        <f t="shared" si="10"/>
        <v>620</v>
      </c>
      <c r="K20" s="402">
        <f t="shared" si="4"/>
        <v>8383.76</v>
      </c>
      <c r="N20">
        <v>27.22</v>
      </c>
      <c r="O20" s="15"/>
      <c r="P20" s="282">
        <f t="shared" si="2"/>
        <v>0</v>
      </c>
      <c r="Q20" s="640"/>
      <c r="R20" s="565">
        <f t="shared" si="3"/>
        <v>0</v>
      </c>
      <c r="S20" s="563"/>
      <c r="T20" s="564"/>
      <c r="U20" s="759">
        <f t="shared" si="8"/>
        <v>15937.140000000005</v>
      </c>
      <c r="V20" s="760">
        <f t="shared" si="11"/>
        <v>586</v>
      </c>
      <c r="W20" s="402">
        <f t="shared" si="5"/>
        <v>0</v>
      </c>
    </row>
    <row r="21" spans="1:23" x14ac:dyDescent="0.25">
      <c r="B21">
        <v>27.22</v>
      </c>
      <c r="C21" s="15">
        <v>24</v>
      </c>
      <c r="D21" s="1209">
        <f t="shared" si="0"/>
        <v>653.28</v>
      </c>
      <c r="E21" s="1210">
        <v>45105</v>
      </c>
      <c r="F21" s="1193">
        <f t="shared" si="1"/>
        <v>653.28</v>
      </c>
      <c r="G21" s="1194" t="s">
        <v>287</v>
      </c>
      <c r="H21" s="1195">
        <v>77</v>
      </c>
      <c r="I21" s="400">
        <f t="shared" si="6"/>
        <v>16212.020000000002</v>
      </c>
      <c r="J21" s="401">
        <f t="shared" si="10"/>
        <v>596</v>
      </c>
      <c r="K21" s="402">
        <f t="shared" si="4"/>
        <v>50302.559999999998</v>
      </c>
      <c r="N21">
        <v>27.22</v>
      </c>
      <c r="O21" s="15"/>
      <c r="P21" s="282">
        <f t="shared" si="2"/>
        <v>0</v>
      </c>
      <c r="Q21" s="640"/>
      <c r="R21" s="565">
        <f t="shared" si="3"/>
        <v>0</v>
      </c>
      <c r="S21" s="563"/>
      <c r="T21" s="564"/>
      <c r="U21" s="759">
        <f t="shared" si="8"/>
        <v>15937.140000000005</v>
      </c>
      <c r="V21" s="760">
        <f t="shared" si="11"/>
        <v>586</v>
      </c>
      <c r="W21" s="402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09">
        <f t="shared" si="0"/>
        <v>54.44</v>
      </c>
      <c r="E22" s="1210">
        <v>45107</v>
      </c>
      <c r="F22" s="1193">
        <f t="shared" si="1"/>
        <v>54.44</v>
      </c>
      <c r="G22" s="1194" t="s">
        <v>291</v>
      </c>
      <c r="H22" s="1195">
        <v>77</v>
      </c>
      <c r="I22" s="400">
        <f t="shared" si="6"/>
        <v>16157.580000000002</v>
      </c>
      <c r="J22" s="401">
        <f t="shared" si="10"/>
        <v>594</v>
      </c>
      <c r="K22" s="402">
        <f t="shared" si="4"/>
        <v>4191.88</v>
      </c>
      <c r="M22" t="s">
        <v>22</v>
      </c>
      <c r="N22">
        <v>27.22</v>
      </c>
      <c r="O22" s="15"/>
      <c r="P22" s="282">
        <f t="shared" si="2"/>
        <v>0</v>
      </c>
      <c r="Q22" s="640"/>
      <c r="R22" s="565">
        <f t="shared" si="3"/>
        <v>0</v>
      </c>
      <c r="S22" s="563"/>
      <c r="T22" s="564"/>
      <c r="U22" s="759">
        <f t="shared" si="8"/>
        <v>15937.140000000005</v>
      </c>
      <c r="V22" s="760">
        <f t="shared" si="11"/>
        <v>586</v>
      </c>
      <c r="W22" s="402">
        <f t="shared" si="5"/>
        <v>0</v>
      </c>
    </row>
    <row r="23" spans="1:23" x14ac:dyDescent="0.25">
      <c r="B23">
        <v>27.22</v>
      </c>
      <c r="C23" s="15">
        <v>3</v>
      </c>
      <c r="D23" s="1209">
        <f t="shared" si="0"/>
        <v>81.66</v>
      </c>
      <c r="E23" s="1210">
        <v>45107</v>
      </c>
      <c r="F23" s="1193">
        <f t="shared" si="1"/>
        <v>81.66</v>
      </c>
      <c r="G23" s="1194" t="s">
        <v>292</v>
      </c>
      <c r="H23" s="1195">
        <v>77</v>
      </c>
      <c r="I23" s="400">
        <f t="shared" si="6"/>
        <v>16075.920000000002</v>
      </c>
      <c r="J23" s="401">
        <f t="shared" si="10"/>
        <v>591</v>
      </c>
      <c r="K23" s="402">
        <f t="shared" si="4"/>
        <v>6287.82</v>
      </c>
      <c r="N23">
        <v>27.22</v>
      </c>
      <c r="O23" s="15"/>
      <c r="P23" s="282">
        <f t="shared" si="2"/>
        <v>0</v>
      </c>
      <c r="Q23" s="640"/>
      <c r="R23" s="565">
        <f t="shared" si="3"/>
        <v>0</v>
      </c>
      <c r="S23" s="563"/>
      <c r="T23" s="564"/>
      <c r="U23" s="759">
        <f t="shared" si="8"/>
        <v>15937.140000000005</v>
      </c>
      <c r="V23" s="760">
        <f t="shared" si="11"/>
        <v>586</v>
      </c>
      <c r="W23" s="402">
        <f t="shared" si="5"/>
        <v>0</v>
      </c>
    </row>
    <row r="24" spans="1:23" x14ac:dyDescent="0.25">
      <c r="B24">
        <v>27.22</v>
      </c>
      <c r="C24" s="15">
        <v>24</v>
      </c>
      <c r="D24" s="1209">
        <f t="shared" si="0"/>
        <v>653.28</v>
      </c>
      <c r="E24" s="1210">
        <v>45107</v>
      </c>
      <c r="F24" s="1193">
        <f t="shared" si="1"/>
        <v>653.28</v>
      </c>
      <c r="G24" s="1194" t="s">
        <v>294</v>
      </c>
      <c r="H24" s="1195">
        <v>77</v>
      </c>
      <c r="I24" s="400">
        <f t="shared" si="6"/>
        <v>15422.640000000001</v>
      </c>
      <c r="J24" s="401">
        <f t="shared" si="10"/>
        <v>567</v>
      </c>
      <c r="K24" s="402">
        <f t="shared" si="4"/>
        <v>50302.559999999998</v>
      </c>
      <c r="N24">
        <v>27.22</v>
      </c>
      <c r="O24" s="15"/>
      <c r="P24" s="282">
        <f t="shared" si="2"/>
        <v>0</v>
      </c>
      <c r="Q24" s="640"/>
      <c r="R24" s="565">
        <f t="shared" si="3"/>
        <v>0</v>
      </c>
      <c r="S24" s="563"/>
      <c r="T24" s="564"/>
      <c r="U24" s="759">
        <f t="shared" si="8"/>
        <v>15937.140000000005</v>
      </c>
      <c r="V24" s="760">
        <f t="shared" si="11"/>
        <v>586</v>
      </c>
      <c r="W24" s="402">
        <f t="shared" si="5"/>
        <v>0</v>
      </c>
    </row>
    <row r="25" spans="1:23" x14ac:dyDescent="0.25">
      <c r="B25">
        <v>27.22</v>
      </c>
      <c r="C25" s="15">
        <v>10</v>
      </c>
      <c r="D25" s="1209">
        <f t="shared" si="0"/>
        <v>272.2</v>
      </c>
      <c r="E25" s="1210">
        <v>45107</v>
      </c>
      <c r="F25" s="1193">
        <f t="shared" si="1"/>
        <v>272.2</v>
      </c>
      <c r="G25" s="1194" t="s">
        <v>295</v>
      </c>
      <c r="H25" s="1195">
        <v>77</v>
      </c>
      <c r="I25" s="400">
        <f t="shared" si="6"/>
        <v>15150.44</v>
      </c>
      <c r="J25" s="401">
        <f t="shared" si="10"/>
        <v>557</v>
      </c>
      <c r="K25" s="402">
        <f t="shared" si="4"/>
        <v>20959.399999999998</v>
      </c>
      <c r="N25">
        <v>27.22</v>
      </c>
      <c r="O25" s="15"/>
      <c r="P25" s="282">
        <f t="shared" si="2"/>
        <v>0</v>
      </c>
      <c r="Q25" s="640"/>
      <c r="R25" s="565">
        <f t="shared" si="3"/>
        <v>0</v>
      </c>
      <c r="S25" s="563"/>
      <c r="T25" s="564"/>
      <c r="U25" s="759">
        <f t="shared" si="8"/>
        <v>15937.140000000005</v>
      </c>
      <c r="V25" s="760">
        <f t="shared" si="11"/>
        <v>586</v>
      </c>
      <c r="W25" s="402">
        <f t="shared" si="5"/>
        <v>0</v>
      </c>
    </row>
    <row r="26" spans="1:23" x14ac:dyDescent="0.25">
      <c r="B26">
        <v>27.22</v>
      </c>
      <c r="C26" s="15">
        <v>10</v>
      </c>
      <c r="D26" s="1209">
        <f t="shared" si="0"/>
        <v>272.2</v>
      </c>
      <c r="E26" s="1210">
        <v>45107</v>
      </c>
      <c r="F26" s="1193">
        <f t="shared" si="1"/>
        <v>272.2</v>
      </c>
      <c r="G26" s="1194" t="s">
        <v>296</v>
      </c>
      <c r="H26" s="1195">
        <v>77</v>
      </c>
      <c r="I26" s="400">
        <f t="shared" si="6"/>
        <v>14878.24</v>
      </c>
      <c r="J26" s="401">
        <f t="shared" si="10"/>
        <v>547</v>
      </c>
      <c r="K26" s="402">
        <f t="shared" si="4"/>
        <v>20959.399999999998</v>
      </c>
      <c r="N26">
        <v>27.22</v>
      </c>
      <c r="O26" s="15"/>
      <c r="P26" s="282">
        <f t="shared" si="2"/>
        <v>0</v>
      </c>
      <c r="Q26" s="640"/>
      <c r="R26" s="565">
        <f t="shared" si="3"/>
        <v>0</v>
      </c>
      <c r="S26" s="563"/>
      <c r="T26" s="564"/>
      <c r="U26" s="759">
        <f t="shared" si="8"/>
        <v>15937.140000000005</v>
      </c>
      <c r="V26" s="760">
        <f t="shared" si="11"/>
        <v>586</v>
      </c>
      <c r="W26" s="402">
        <f t="shared" si="5"/>
        <v>0</v>
      </c>
    </row>
    <row r="27" spans="1:23" x14ac:dyDescent="0.25">
      <c r="B27">
        <v>27.22</v>
      </c>
      <c r="C27" s="15">
        <v>4</v>
      </c>
      <c r="D27" s="1209">
        <f t="shared" si="0"/>
        <v>108.88</v>
      </c>
      <c r="E27" s="1210">
        <v>45108</v>
      </c>
      <c r="F27" s="1193">
        <f t="shared" si="1"/>
        <v>108.88</v>
      </c>
      <c r="G27" s="1194" t="s">
        <v>297</v>
      </c>
      <c r="H27" s="1195">
        <v>77</v>
      </c>
      <c r="I27" s="400">
        <f t="shared" si="6"/>
        <v>14769.36</v>
      </c>
      <c r="J27" s="401">
        <f t="shared" si="10"/>
        <v>543</v>
      </c>
      <c r="K27" s="402">
        <f t="shared" si="4"/>
        <v>8383.76</v>
      </c>
      <c r="N27">
        <v>27.22</v>
      </c>
      <c r="O27" s="15"/>
      <c r="P27" s="282">
        <f t="shared" si="2"/>
        <v>0</v>
      </c>
      <c r="Q27" s="640"/>
      <c r="R27" s="565">
        <f t="shared" si="3"/>
        <v>0</v>
      </c>
      <c r="S27" s="563"/>
      <c r="T27" s="564"/>
      <c r="U27" s="759">
        <f t="shared" si="8"/>
        <v>15937.140000000005</v>
      </c>
      <c r="V27" s="760">
        <f t="shared" si="11"/>
        <v>586</v>
      </c>
      <c r="W27" s="402">
        <f t="shared" si="5"/>
        <v>0</v>
      </c>
    </row>
    <row r="28" spans="1:23" x14ac:dyDescent="0.25">
      <c r="B28">
        <v>27.22</v>
      </c>
      <c r="C28" s="15">
        <v>5</v>
      </c>
      <c r="D28" s="1209">
        <f t="shared" si="0"/>
        <v>136.1</v>
      </c>
      <c r="E28" s="1210">
        <v>45108</v>
      </c>
      <c r="F28" s="1193">
        <f t="shared" si="1"/>
        <v>136.1</v>
      </c>
      <c r="G28" s="1194" t="s">
        <v>298</v>
      </c>
      <c r="H28" s="1195">
        <v>77</v>
      </c>
      <c r="I28" s="400">
        <f t="shared" si="6"/>
        <v>14633.26</v>
      </c>
      <c r="J28" s="401">
        <f t="shared" si="10"/>
        <v>538</v>
      </c>
      <c r="K28" s="402">
        <f t="shared" si="4"/>
        <v>10479.699999999999</v>
      </c>
      <c r="N28">
        <v>27.22</v>
      </c>
      <c r="O28" s="15"/>
      <c r="P28" s="282">
        <f t="shared" si="2"/>
        <v>0</v>
      </c>
      <c r="Q28" s="640"/>
      <c r="R28" s="565">
        <f t="shared" si="3"/>
        <v>0</v>
      </c>
      <c r="S28" s="563"/>
      <c r="T28" s="564"/>
      <c r="U28" s="759">
        <f t="shared" si="8"/>
        <v>15937.140000000005</v>
      </c>
      <c r="V28" s="760">
        <f t="shared" si="11"/>
        <v>586</v>
      </c>
      <c r="W28" s="402">
        <f t="shared" si="5"/>
        <v>0</v>
      </c>
    </row>
    <row r="29" spans="1:23" x14ac:dyDescent="0.25">
      <c r="B29">
        <v>27.22</v>
      </c>
      <c r="C29" s="15">
        <v>2</v>
      </c>
      <c r="D29" s="1209">
        <f t="shared" si="0"/>
        <v>54.44</v>
      </c>
      <c r="E29" s="1210">
        <v>45108</v>
      </c>
      <c r="F29" s="1193">
        <f t="shared" si="1"/>
        <v>54.44</v>
      </c>
      <c r="G29" s="1194" t="s">
        <v>301</v>
      </c>
      <c r="H29" s="1195">
        <v>77</v>
      </c>
      <c r="I29" s="400">
        <f t="shared" si="6"/>
        <v>14578.82</v>
      </c>
      <c r="J29" s="401">
        <f t="shared" si="10"/>
        <v>536</v>
      </c>
      <c r="K29" s="402">
        <f t="shared" si="4"/>
        <v>4191.88</v>
      </c>
      <c r="N29">
        <v>27.22</v>
      </c>
      <c r="O29" s="15"/>
      <c r="P29" s="282">
        <f t="shared" si="2"/>
        <v>0</v>
      </c>
      <c r="Q29" s="640"/>
      <c r="R29" s="565">
        <f t="shared" si="3"/>
        <v>0</v>
      </c>
      <c r="S29" s="563"/>
      <c r="T29" s="564"/>
      <c r="U29" s="759">
        <f t="shared" si="8"/>
        <v>15937.140000000005</v>
      </c>
      <c r="V29" s="760">
        <f t="shared" si="11"/>
        <v>586</v>
      </c>
      <c r="W29" s="402">
        <f t="shared" si="5"/>
        <v>0</v>
      </c>
    </row>
    <row r="30" spans="1:23" x14ac:dyDescent="0.25">
      <c r="B30">
        <v>27.22</v>
      </c>
      <c r="C30" s="15">
        <v>24</v>
      </c>
      <c r="D30" s="1209">
        <f t="shared" si="0"/>
        <v>653.28</v>
      </c>
      <c r="E30" s="1210">
        <v>45108</v>
      </c>
      <c r="F30" s="1193">
        <f t="shared" si="1"/>
        <v>653.28</v>
      </c>
      <c r="G30" s="1194" t="s">
        <v>302</v>
      </c>
      <c r="H30" s="1195">
        <v>77</v>
      </c>
      <c r="I30" s="755">
        <f t="shared" si="6"/>
        <v>13925.539999999999</v>
      </c>
      <c r="J30" s="756">
        <f t="shared" si="10"/>
        <v>512</v>
      </c>
      <c r="K30" s="402">
        <f t="shared" si="4"/>
        <v>50302.559999999998</v>
      </c>
      <c r="N30">
        <v>27.22</v>
      </c>
      <c r="O30" s="15"/>
      <c r="P30" s="282">
        <f t="shared" si="2"/>
        <v>0</v>
      </c>
      <c r="Q30" s="640"/>
      <c r="R30" s="565">
        <f t="shared" si="3"/>
        <v>0</v>
      </c>
      <c r="S30" s="563"/>
      <c r="T30" s="564"/>
      <c r="U30" s="759">
        <f t="shared" si="8"/>
        <v>15937.140000000005</v>
      </c>
      <c r="V30" s="760">
        <f t="shared" si="11"/>
        <v>586</v>
      </c>
      <c r="W30" s="402">
        <f t="shared" si="5"/>
        <v>0</v>
      </c>
    </row>
    <row r="31" spans="1:23" x14ac:dyDescent="0.25">
      <c r="B31">
        <v>27.22</v>
      </c>
      <c r="C31" s="15"/>
      <c r="D31" s="1209">
        <f t="shared" si="0"/>
        <v>0</v>
      </c>
      <c r="E31" s="1210"/>
      <c r="F31" s="1193">
        <f t="shared" si="1"/>
        <v>0</v>
      </c>
      <c r="G31" s="1194"/>
      <c r="H31" s="1195"/>
      <c r="I31" s="400">
        <f t="shared" si="6"/>
        <v>13925.539999999999</v>
      </c>
      <c r="J31" s="401">
        <f t="shared" si="10"/>
        <v>512</v>
      </c>
      <c r="K31" s="402">
        <f t="shared" si="4"/>
        <v>0</v>
      </c>
      <c r="N31">
        <v>27.22</v>
      </c>
      <c r="O31" s="15"/>
      <c r="P31" s="282">
        <f t="shared" si="2"/>
        <v>0</v>
      </c>
      <c r="Q31" s="640"/>
      <c r="R31" s="565">
        <f t="shared" si="3"/>
        <v>0</v>
      </c>
      <c r="S31" s="563"/>
      <c r="T31" s="564"/>
      <c r="U31" s="759">
        <f t="shared" si="8"/>
        <v>15937.140000000005</v>
      </c>
      <c r="V31" s="760">
        <f t="shared" si="11"/>
        <v>586</v>
      </c>
      <c r="W31" s="402">
        <f t="shared" si="5"/>
        <v>0</v>
      </c>
    </row>
    <row r="32" spans="1:23" x14ac:dyDescent="0.25">
      <c r="B32">
        <v>27.22</v>
      </c>
      <c r="C32" s="15">
        <v>3</v>
      </c>
      <c r="D32" s="1475">
        <f t="shared" si="0"/>
        <v>81.66</v>
      </c>
      <c r="E32" s="1476">
        <v>45110</v>
      </c>
      <c r="F32" s="935">
        <f t="shared" si="1"/>
        <v>81.66</v>
      </c>
      <c r="G32" s="494" t="s">
        <v>492</v>
      </c>
      <c r="H32" s="495">
        <v>77</v>
      </c>
      <c r="I32" s="400">
        <f t="shared" si="6"/>
        <v>13843.88</v>
      </c>
      <c r="J32" s="401">
        <f t="shared" si="10"/>
        <v>509</v>
      </c>
      <c r="K32" s="402">
        <f t="shared" si="4"/>
        <v>6287.82</v>
      </c>
      <c r="N32">
        <v>27.22</v>
      </c>
      <c r="O32" s="15"/>
      <c r="P32" s="282">
        <f t="shared" si="2"/>
        <v>0</v>
      </c>
      <c r="Q32" s="640"/>
      <c r="R32" s="565">
        <f t="shared" si="3"/>
        <v>0</v>
      </c>
      <c r="S32" s="563"/>
      <c r="T32" s="564"/>
      <c r="U32" s="759">
        <f t="shared" si="8"/>
        <v>15937.140000000005</v>
      </c>
      <c r="V32" s="760">
        <f t="shared" si="11"/>
        <v>586</v>
      </c>
      <c r="W32" s="402">
        <f t="shared" si="5"/>
        <v>0</v>
      </c>
    </row>
    <row r="33" spans="2:23" x14ac:dyDescent="0.25">
      <c r="B33">
        <v>27.22</v>
      </c>
      <c r="C33" s="15">
        <v>3</v>
      </c>
      <c r="D33" s="1475">
        <f t="shared" si="0"/>
        <v>81.66</v>
      </c>
      <c r="E33" s="1476">
        <v>45110</v>
      </c>
      <c r="F33" s="935">
        <f t="shared" si="1"/>
        <v>81.66</v>
      </c>
      <c r="G33" s="494" t="s">
        <v>492</v>
      </c>
      <c r="H33" s="495">
        <v>77</v>
      </c>
      <c r="I33" s="400">
        <f t="shared" si="6"/>
        <v>13762.22</v>
      </c>
      <c r="J33" s="401">
        <f t="shared" si="10"/>
        <v>506</v>
      </c>
      <c r="K33" s="402">
        <f t="shared" si="4"/>
        <v>6287.82</v>
      </c>
      <c r="N33">
        <v>27.22</v>
      </c>
      <c r="O33" s="15"/>
      <c r="P33" s="282">
        <f t="shared" si="2"/>
        <v>0</v>
      </c>
      <c r="Q33" s="640"/>
      <c r="R33" s="565">
        <f t="shared" si="3"/>
        <v>0</v>
      </c>
      <c r="S33" s="563"/>
      <c r="T33" s="564"/>
      <c r="U33" s="759">
        <f t="shared" si="8"/>
        <v>15937.140000000005</v>
      </c>
      <c r="V33" s="760">
        <f t="shared" si="11"/>
        <v>586</v>
      </c>
      <c r="W33" s="402">
        <f t="shared" si="5"/>
        <v>0</v>
      </c>
    </row>
    <row r="34" spans="2:23" x14ac:dyDescent="0.25">
      <c r="B34">
        <v>27.22</v>
      </c>
      <c r="C34" s="15">
        <v>24</v>
      </c>
      <c r="D34" s="1475">
        <f t="shared" si="0"/>
        <v>653.28</v>
      </c>
      <c r="E34" s="1476">
        <v>45111</v>
      </c>
      <c r="F34" s="935">
        <f t="shared" si="1"/>
        <v>653.28</v>
      </c>
      <c r="G34" s="494" t="s">
        <v>499</v>
      </c>
      <c r="H34" s="495">
        <v>77</v>
      </c>
      <c r="I34" s="400">
        <f t="shared" si="6"/>
        <v>13108.939999999999</v>
      </c>
      <c r="J34" s="401">
        <f t="shared" si="10"/>
        <v>482</v>
      </c>
      <c r="K34" s="402">
        <f t="shared" si="4"/>
        <v>50302.559999999998</v>
      </c>
      <c r="N34">
        <v>27.22</v>
      </c>
      <c r="O34" s="15"/>
      <c r="P34" s="282">
        <f t="shared" si="2"/>
        <v>0</v>
      </c>
      <c r="Q34" s="640"/>
      <c r="R34" s="565">
        <f t="shared" si="3"/>
        <v>0</v>
      </c>
      <c r="S34" s="563"/>
      <c r="T34" s="564"/>
      <c r="U34" s="759">
        <f t="shared" si="8"/>
        <v>15937.140000000005</v>
      </c>
      <c r="V34" s="760">
        <f t="shared" si="11"/>
        <v>586</v>
      </c>
      <c r="W34" s="402">
        <f t="shared" si="5"/>
        <v>0</v>
      </c>
    </row>
    <row r="35" spans="2:23" x14ac:dyDescent="0.25">
      <c r="B35">
        <v>27.22</v>
      </c>
      <c r="C35" s="15">
        <v>4</v>
      </c>
      <c r="D35" s="1475">
        <f t="shared" si="0"/>
        <v>108.88</v>
      </c>
      <c r="E35" s="1476">
        <v>45111</v>
      </c>
      <c r="F35" s="935">
        <f t="shared" si="1"/>
        <v>108.88</v>
      </c>
      <c r="G35" s="494" t="s">
        <v>500</v>
      </c>
      <c r="H35" s="495">
        <v>77</v>
      </c>
      <c r="I35" s="400">
        <f t="shared" si="6"/>
        <v>13000.06</v>
      </c>
      <c r="J35" s="401">
        <f t="shared" si="10"/>
        <v>478</v>
      </c>
      <c r="K35" s="402">
        <f t="shared" si="4"/>
        <v>8383.76</v>
      </c>
      <c r="N35">
        <v>27.22</v>
      </c>
      <c r="O35" s="15"/>
      <c r="P35" s="282">
        <f t="shared" si="2"/>
        <v>0</v>
      </c>
      <c r="Q35" s="640"/>
      <c r="R35" s="565">
        <f t="shared" si="3"/>
        <v>0</v>
      </c>
      <c r="S35" s="563"/>
      <c r="T35" s="564"/>
      <c r="U35" s="759">
        <f t="shared" si="8"/>
        <v>15937.140000000005</v>
      </c>
      <c r="V35" s="760">
        <f t="shared" si="11"/>
        <v>586</v>
      </c>
      <c r="W35" s="402">
        <f t="shared" si="5"/>
        <v>0</v>
      </c>
    </row>
    <row r="36" spans="2:23" x14ac:dyDescent="0.25">
      <c r="B36">
        <v>27.22</v>
      </c>
      <c r="C36" s="15">
        <v>10</v>
      </c>
      <c r="D36" s="1475">
        <f t="shared" si="0"/>
        <v>272.2</v>
      </c>
      <c r="E36" s="1476">
        <v>45111</v>
      </c>
      <c r="F36" s="935">
        <f t="shared" si="1"/>
        <v>272.2</v>
      </c>
      <c r="G36" s="494" t="s">
        <v>512</v>
      </c>
      <c r="H36" s="495">
        <v>77</v>
      </c>
      <c r="I36" s="400">
        <f t="shared" si="6"/>
        <v>12727.859999999999</v>
      </c>
      <c r="J36" s="401">
        <f t="shared" si="10"/>
        <v>468</v>
      </c>
      <c r="K36" s="402">
        <f t="shared" si="4"/>
        <v>20959.399999999998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400">
        <f t="shared" si="8"/>
        <v>15937.140000000005</v>
      </c>
      <c r="V36" s="401">
        <f t="shared" si="11"/>
        <v>586</v>
      </c>
      <c r="W36" s="402">
        <f t="shared" si="5"/>
        <v>0</v>
      </c>
    </row>
    <row r="37" spans="2:23" x14ac:dyDescent="0.25">
      <c r="B37">
        <v>27.22</v>
      </c>
      <c r="C37" s="15">
        <v>1</v>
      </c>
      <c r="D37" s="935">
        <f t="shared" si="0"/>
        <v>27.22</v>
      </c>
      <c r="E37" s="1477">
        <v>45112</v>
      </c>
      <c r="F37" s="935">
        <f t="shared" si="1"/>
        <v>27.22</v>
      </c>
      <c r="G37" s="494" t="s">
        <v>513</v>
      </c>
      <c r="H37" s="495">
        <v>77</v>
      </c>
      <c r="I37" s="400">
        <f t="shared" si="6"/>
        <v>12700.64</v>
      </c>
      <c r="J37" s="401">
        <f t="shared" si="10"/>
        <v>467</v>
      </c>
      <c r="K37" s="402">
        <f t="shared" si="4"/>
        <v>2095.94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400">
        <f t="shared" si="8"/>
        <v>15937.140000000005</v>
      </c>
      <c r="V37" s="401">
        <f t="shared" si="11"/>
        <v>586</v>
      </c>
      <c r="W37" s="402">
        <f t="shared" si="5"/>
        <v>0</v>
      </c>
    </row>
    <row r="38" spans="2:23" x14ac:dyDescent="0.25">
      <c r="B38">
        <v>27.22</v>
      </c>
      <c r="C38" s="15">
        <v>5</v>
      </c>
      <c r="D38" s="935">
        <f t="shared" si="0"/>
        <v>136.1</v>
      </c>
      <c r="E38" s="1477">
        <v>45112</v>
      </c>
      <c r="F38" s="935">
        <f t="shared" si="1"/>
        <v>136.1</v>
      </c>
      <c r="G38" s="494" t="s">
        <v>515</v>
      </c>
      <c r="H38" s="495">
        <v>77</v>
      </c>
      <c r="I38" s="400">
        <f t="shared" si="6"/>
        <v>12564.539999999999</v>
      </c>
      <c r="J38" s="401">
        <f t="shared" si="10"/>
        <v>462</v>
      </c>
      <c r="K38" s="402">
        <f t="shared" si="4"/>
        <v>10479.699999999999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400">
        <f t="shared" si="8"/>
        <v>15937.140000000005</v>
      </c>
      <c r="V38" s="401">
        <f t="shared" si="11"/>
        <v>586</v>
      </c>
      <c r="W38" s="402">
        <f t="shared" si="5"/>
        <v>0</v>
      </c>
    </row>
    <row r="39" spans="2:23" x14ac:dyDescent="0.25">
      <c r="B39">
        <v>27.22</v>
      </c>
      <c r="C39" s="15">
        <v>24</v>
      </c>
      <c r="D39" s="935">
        <f t="shared" si="0"/>
        <v>653.28</v>
      </c>
      <c r="E39" s="1477">
        <v>45113</v>
      </c>
      <c r="F39" s="935">
        <f t="shared" si="1"/>
        <v>653.28</v>
      </c>
      <c r="G39" s="494" t="s">
        <v>518</v>
      </c>
      <c r="H39" s="495">
        <v>77</v>
      </c>
      <c r="I39" s="400">
        <f t="shared" si="6"/>
        <v>11911.259999999998</v>
      </c>
      <c r="J39" s="401">
        <f t="shared" si="10"/>
        <v>438</v>
      </c>
      <c r="K39" s="402">
        <f t="shared" si="4"/>
        <v>50302.559999999998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400">
        <f t="shared" si="8"/>
        <v>15937.140000000005</v>
      </c>
      <c r="V39" s="401">
        <f t="shared" si="11"/>
        <v>586</v>
      </c>
      <c r="W39" s="402">
        <f t="shared" si="5"/>
        <v>0</v>
      </c>
    </row>
    <row r="40" spans="2:23" x14ac:dyDescent="0.25">
      <c r="B40">
        <v>27.22</v>
      </c>
      <c r="C40" s="15">
        <v>1</v>
      </c>
      <c r="D40" s="935">
        <f t="shared" si="0"/>
        <v>27.22</v>
      </c>
      <c r="E40" s="1477">
        <v>45113</v>
      </c>
      <c r="F40" s="935">
        <f t="shared" si="1"/>
        <v>27.22</v>
      </c>
      <c r="G40" s="494" t="s">
        <v>519</v>
      </c>
      <c r="H40" s="495">
        <v>77</v>
      </c>
      <c r="I40" s="400">
        <f t="shared" si="6"/>
        <v>11884.039999999999</v>
      </c>
      <c r="J40" s="401">
        <f t="shared" si="10"/>
        <v>437</v>
      </c>
      <c r="K40" s="402">
        <f t="shared" si="4"/>
        <v>2095.94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400">
        <f t="shared" si="8"/>
        <v>15937.140000000005</v>
      </c>
      <c r="V40" s="401">
        <f t="shared" si="11"/>
        <v>586</v>
      </c>
      <c r="W40" s="402">
        <f t="shared" si="5"/>
        <v>0</v>
      </c>
    </row>
    <row r="41" spans="2:23" x14ac:dyDescent="0.25">
      <c r="B41">
        <v>27.22</v>
      </c>
      <c r="C41" s="15">
        <v>24</v>
      </c>
      <c r="D41" s="935">
        <f t="shared" si="0"/>
        <v>653.28</v>
      </c>
      <c r="E41" s="1477">
        <v>45114</v>
      </c>
      <c r="F41" s="935">
        <f t="shared" si="1"/>
        <v>653.28</v>
      </c>
      <c r="G41" s="494" t="s">
        <v>525</v>
      </c>
      <c r="H41" s="495">
        <v>77</v>
      </c>
      <c r="I41" s="400">
        <f t="shared" si="6"/>
        <v>11230.759999999998</v>
      </c>
      <c r="J41" s="401">
        <f t="shared" si="10"/>
        <v>413</v>
      </c>
      <c r="K41" s="402">
        <f t="shared" si="4"/>
        <v>50302.559999999998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400">
        <f t="shared" si="8"/>
        <v>15937.140000000005</v>
      </c>
      <c r="V41" s="401">
        <f t="shared" si="11"/>
        <v>586</v>
      </c>
      <c r="W41" s="402">
        <f t="shared" si="5"/>
        <v>0</v>
      </c>
    </row>
    <row r="42" spans="2:23" x14ac:dyDescent="0.25">
      <c r="B42">
        <v>27.22</v>
      </c>
      <c r="C42" s="15">
        <v>3</v>
      </c>
      <c r="D42" s="935">
        <f t="shared" si="0"/>
        <v>81.66</v>
      </c>
      <c r="E42" s="1477">
        <v>45114</v>
      </c>
      <c r="F42" s="935">
        <f t="shared" si="1"/>
        <v>81.66</v>
      </c>
      <c r="G42" s="494" t="s">
        <v>527</v>
      </c>
      <c r="H42" s="495">
        <v>77</v>
      </c>
      <c r="I42" s="400">
        <f t="shared" si="6"/>
        <v>11149.099999999999</v>
      </c>
      <c r="J42" s="401">
        <f t="shared" si="10"/>
        <v>410</v>
      </c>
      <c r="K42" s="402">
        <f t="shared" si="4"/>
        <v>6287.82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400">
        <f t="shared" si="8"/>
        <v>15937.140000000005</v>
      </c>
      <c r="V42" s="401">
        <f t="shared" si="11"/>
        <v>586</v>
      </c>
      <c r="W42" s="402">
        <f t="shared" si="5"/>
        <v>0</v>
      </c>
    </row>
    <row r="43" spans="2:23" x14ac:dyDescent="0.25">
      <c r="B43">
        <v>27.22</v>
      </c>
      <c r="C43" s="15">
        <v>10</v>
      </c>
      <c r="D43" s="935">
        <f t="shared" si="0"/>
        <v>272.2</v>
      </c>
      <c r="E43" s="1477">
        <v>45114</v>
      </c>
      <c r="F43" s="935">
        <f t="shared" si="1"/>
        <v>272.2</v>
      </c>
      <c r="G43" s="494" t="s">
        <v>535</v>
      </c>
      <c r="H43" s="495">
        <v>77</v>
      </c>
      <c r="I43" s="400">
        <f t="shared" si="6"/>
        <v>10876.899999999998</v>
      </c>
      <c r="J43" s="401">
        <f t="shared" si="10"/>
        <v>400</v>
      </c>
      <c r="K43" s="402">
        <f t="shared" si="4"/>
        <v>20959.399999999998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400">
        <f t="shared" si="8"/>
        <v>15937.140000000005</v>
      </c>
      <c r="V43" s="401">
        <f t="shared" si="11"/>
        <v>586</v>
      </c>
      <c r="W43" s="402">
        <f t="shared" si="5"/>
        <v>0</v>
      </c>
    </row>
    <row r="44" spans="2:23" x14ac:dyDescent="0.25">
      <c r="B44">
        <v>27.22</v>
      </c>
      <c r="C44" s="15">
        <v>2</v>
      </c>
      <c r="D44" s="935">
        <f t="shared" si="0"/>
        <v>54.44</v>
      </c>
      <c r="E44" s="1477">
        <v>45115</v>
      </c>
      <c r="F44" s="935">
        <f t="shared" si="1"/>
        <v>54.44</v>
      </c>
      <c r="G44" s="494" t="s">
        <v>541</v>
      </c>
      <c r="H44" s="495">
        <v>77</v>
      </c>
      <c r="I44" s="400">
        <f t="shared" si="6"/>
        <v>10822.459999999997</v>
      </c>
      <c r="J44" s="401">
        <f t="shared" si="10"/>
        <v>398</v>
      </c>
      <c r="K44" s="402">
        <f t="shared" si="4"/>
        <v>4191.88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400">
        <f t="shared" si="8"/>
        <v>15937.140000000005</v>
      </c>
      <c r="V44" s="401">
        <f t="shared" si="11"/>
        <v>586</v>
      </c>
      <c r="W44" s="402">
        <f t="shared" si="5"/>
        <v>0</v>
      </c>
    </row>
    <row r="45" spans="2:23" x14ac:dyDescent="0.25">
      <c r="B45">
        <v>27.22</v>
      </c>
      <c r="C45" s="15">
        <v>10</v>
      </c>
      <c r="D45" s="935">
        <f t="shared" si="0"/>
        <v>272.2</v>
      </c>
      <c r="E45" s="1477">
        <v>45115</v>
      </c>
      <c r="F45" s="935">
        <f t="shared" si="1"/>
        <v>272.2</v>
      </c>
      <c r="G45" s="494" t="s">
        <v>533</v>
      </c>
      <c r="H45" s="495">
        <v>77</v>
      </c>
      <c r="I45" s="400">
        <f t="shared" si="6"/>
        <v>10550.259999999997</v>
      </c>
      <c r="J45" s="401">
        <f t="shared" si="10"/>
        <v>388</v>
      </c>
      <c r="K45" s="402">
        <f t="shared" si="4"/>
        <v>20959.399999999998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400">
        <f t="shared" si="8"/>
        <v>15937.140000000005</v>
      </c>
      <c r="V45" s="401">
        <f t="shared" si="11"/>
        <v>586</v>
      </c>
      <c r="W45" s="402">
        <f t="shared" si="5"/>
        <v>0</v>
      </c>
    </row>
    <row r="46" spans="2:23" x14ac:dyDescent="0.25">
      <c r="B46">
        <v>27.22</v>
      </c>
      <c r="C46" s="15">
        <v>24</v>
      </c>
      <c r="D46" s="935">
        <f t="shared" si="0"/>
        <v>653.28</v>
      </c>
      <c r="E46" s="1477">
        <v>45115</v>
      </c>
      <c r="F46" s="935">
        <f t="shared" si="1"/>
        <v>653.28</v>
      </c>
      <c r="G46" s="494" t="s">
        <v>544</v>
      </c>
      <c r="H46" s="495">
        <v>77</v>
      </c>
      <c r="I46" s="400">
        <f t="shared" si="6"/>
        <v>9896.9799999999959</v>
      </c>
      <c r="J46" s="401">
        <f t="shared" si="10"/>
        <v>364</v>
      </c>
      <c r="K46" s="402">
        <f t="shared" si="4"/>
        <v>50302.559999999998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400">
        <f t="shared" si="8"/>
        <v>15937.140000000005</v>
      </c>
      <c r="V46" s="401">
        <f t="shared" si="11"/>
        <v>586</v>
      </c>
      <c r="W46" s="402">
        <f t="shared" si="5"/>
        <v>0</v>
      </c>
    </row>
    <row r="47" spans="2:23" x14ac:dyDescent="0.25">
      <c r="B47">
        <v>27.22</v>
      </c>
      <c r="C47" s="15">
        <v>2</v>
      </c>
      <c r="D47" s="935">
        <f t="shared" si="0"/>
        <v>54.44</v>
      </c>
      <c r="E47" s="1477">
        <v>45115</v>
      </c>
      <c r="F47" s="935">
        <f t="shared" si="1"/>
        <v>54.44</v>
      </c>
      <c r="G47" s="494" t="s">
        <v>545</v>
      </c>
      <c r="H47" s="495">
        <v>77</v>
      </c>
      <c r="I47" s="400">
        <f t="shared" si="6"/>
        <v>9842.5399999999954</v>
      </c>
      <c r="J47" s="401">
        <f t="shared" si="10"/>
        <v>362</v>
      </c>
      <c r="K47" s="402">
        <f t="shared" si="4"/>
        <v>4191.88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400">
        <f t="shared" si="8"/>
        <v>15937.140000000005</v>
      </c>
      <c r="V47" s="401">
        <f t="shared" si="11"/>
        <v>586</v>
      </c>
      <c r="W47" s="402">
        <f t="shared" si="5"/>
        <v>0</v>
      </c>
    </row>
    <row r="48" spans="2:23" x14ac:dyDescent="0.25">
      <c r="B48">
        <v>27.22</v>
      </c>
      <c r="C48" s="15">
        <v>3</v>
      </c>
      <c r="D48" s="935">
        <f t="shared" si="0"/>
        <v>81.66</v>
      </c>
      <c r="E48" s="1477">
        <v>45115</v>
      </c>
      <c r="F48" s="935">
        <f t="shared" si="1"/>
        <v>81.66</v>
      </c>
      <c r="G48" s="494" t="s">
        <v>546</v>
      </c>
      <c r="H48" s="495">
        <v>77</v>
      </c>
      <c r="I48" s="400">
        <f t="shared" si="6"/>
        <v>9760.8799999999956</v>
      </c>
      <c r="J48" s="401">
        <f t="shared" si="10"/>
        <v>359</v>
      </c>
      <c r="K48" s="402">
        <f t="shared" si="4"/>
        <v>6287.82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400">
        <f t="shared" si="8"/>
        <v>15937.140000000005</v>
      </c>
      <c r="V48" s="401">
        <f t="shared" si="11"/>
        <v>586</v>
      </c>
      <c r="W48" s="402">
        <f t="shared" si="5"/>
        <v>0</v>
      </c>
    </row>
    <row r="49" spans="1:23" x14ac:dyDescent="0.25">
      <c r="B49">
        <v>27.22</v>
      </c>
      <c r="C49" s="15">
        <v>24</v>
      </c>
      <c r="D49" s="935">
        <f t="shared" si="0"/>
        <v>653.28</v>
      </c>
      <c r="E49" s="1477">
        <v>45117</v>
      </c>
      <c r="F49" s="935">
        <f t="shared" si="1"/>
        <v>653.28</v>
      </c>
      <c r="G49" s="494" t="s">
        <v>552</v>
      </c>
      <c r="H49" s="495">
        <v>77</v>
      </c>
      <c r="I49" s="400">
        <f t="shared" si="6"/>
        <v>9107.5999999999949</v>
      </c>
      <c r="J49" s="401">
        <f t="shared" si="10"/>
        <v>335</v>
      </c>
      <c r="K49" s="402">
        <f t="shared" si="4"/>
        <v>50302.559999999998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400">
        <f t="shared" si="8"/>
        <v>15937.140000000005</v>
      </c>
      <c r="V49" s="401">
        <f t="shared" si="11"/>
        <v>586</v>
      </c>
      <c r="W49" s="402">
        <f t="shared" si="5"/>
        <v>0</v>
      </c>
    </row>
    <row r="50" spans="1:23" x14ac:dyDescent="0.25">
      <c r="B50">
        <v>27.22</v>
      </c>
      <c r="C50" s="15">
        <v>7</v>
      </c>
      <c r="D50" s="935">
        <f t="shared" si="0"/>
        <v>190.54</v>
      </c>
      <c r="E50" s="1477">
        <v>45117</v>
      </c>
      <c r="F50" s="935">
        <f t="shared" si="1"/>
        <v>190.54</v>
      </c>
      <c r="G50" s="494" t="s">
        <v>554</v>
      </c>
      <c r="H50" s="495">
        <v>77</v>
      </c>
      <c r="I50" s="400">
        <f t="shared" si="6"/>
        <v>8917.059999999994</v>
      </c>
      <c r="J50" s="401">
        <f t="shared" si="10"/>
        <v>328</v>
      </c>
      <c r="K50" s="402">
        <f t="shared" si="4"/>
        <v>14671.58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400">
        <f t="shared" si="8"/>
        <v>15937.140000000005</v>
      </c>
      <c r="V50" s="401">
        <f t="shared" si="11"/>
        <v>586</v>
      </c>
      <c r="W50" s="402">
        <f t="shared" si="5"/>
        <v>0</v>
      </c>
    </row>
    <row r="51" spans="1:23" x14ac:dyDescent="0.25">
      <c r="B51">
        <v>27.22</v>
      </c>
      <c r="C51" s="15">
        <v>1</v>
      </c>
      <c r="D51" s="935">
        <f t="shared" si="0"/>
        <v>27.22</v>
      </c>
      <c r="E51" s="1477">
        <v>45117</v>
      </c>
      <c r="F51" s="935">
        <f t="shared" si="1"/>
        <v>27.22</v>
      </c>
      <c r="G51" s="494" t="s">
        <v>555</v>
      </c>
      <c r="H51" s="495">
        <v>77</v>
      </c>
      <c r="I51" s="400">
        <f t="shared" si="6"/>
        <v>8889.8399999999947</v>
      </c>
      <c r="J51" s="401">
        <f t="shared" si="10"/>
        <v>327</v>
      </c>
      <c r="K51" s="402">
        <f t="shared" si="4"/>
        <v>2095.94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400">
        <f t="shared" si="8"/>
        <v>15937.140000000005</v>
      </c>
      <c r="V51" s="401">
        <f t="shared" si="11"/>
        <v>586</v>
      </c>
      <c r="W51" s="402">
        <f t="shared" si="5"/>
        <v>0</v>
      </c>
    </row>
    <row r="52" spans="1:23" x14ac:dyDescent="0.25">
      <c r="B52">
        <v>27.22</v>
      </c>
      <c r="C52" s="15">
        <v>1</v>
      </c>
      <c r="D52" s="935">
        <f t="shared" si="0"/>
        <v>27.22</v>
      </c>
      <c r="E52" s="1477">
        <v>45118</v>
      </c>
      <c r="F52" s="935">
        <f t="shared" si="1"/>
        <v>27.22</v>
      </c>
      <c r="G52" s="494" t="s">
        <v>559</v>
      </c>
      <c r="H52" s="495">
        <v>77</v>
      </c>
      <c r="I52" s="400">
        <f t="shared" si="6"/>
        <v>8862.6199999999953</v>
      </c>
      <c r="J52" s="401">
        <f t="shared" si="10"/>
        <v>326</v>
      </c>
      <c r="K52" s="402">
        <f t="shared" si="4"/>
        <v>2095.94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400">
        <f t="shared" si="8"/>
        <v>15937.140000000005</v>
      </c>
      <c r="V52" s="401">
        <f t="shared" si="11"/>
        <v>586</v>
      </c>
      <c r="W52" s="402">
        <f t="shared" si="5"/>
        <v>0</v>
      </c>
    </row>
    <row r="53" spans="1:23" x14ac:dyDescent="0.25">
      <c r="B53">
        <v>27.22</v>
      </c>
      <c r="C53" s="15">
        <v>1</v>
      </c>
      <c r="D53" s="935">
        <f t="shared" si="0"/>
        <v>27.22</v>
      </c>
      <c r="E53" s="1477">
        <v>45118</v>
      </c>
      <c r="F53" s="935">
        <f t="shared" si="1"/>
        <v>27.22</v>
      </c>
      <c r="G53" s="494" t="s">
        <v>560</v>
      </c>
      <c r="H53" s="495">
        <v>77</v>
      </c>
      <c r="I53" s="400">
        <f t="shared" si="6"/>
        <v>8835.399999999996</v>
      </c>
      <c r="J53" s="401">
        <f t="shared" si="10"/>
        <v>325</v>
      </c>
      <c r="K53" s="402">
        <f t="shared" si="4"/>
        <v>2095.94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400">
        <f t="shared" si="8"/>
        <v>15937.140000000005</v>
      </c>
      <c r="V53" s="401">
        <f t="shared" si="11"/>
        <v>586</v>
      </c>
      <c r="W53" s="402">
        <f t="shared" si="5"/>
        <v>0</v>
      </c>
    </row>
    <row r="54" spans="1:23" x14ac:dyDescent="0.25">
      <c r="B54">
        <v>27.22</v>
      </c>
      <c r="C54" s="15">
        <v>1</v>
      </c>
      <c r="D54" s="935">
        <f t="shared" si="0"/>
        <v>27.22</v>
      </c>
      <c r="E54" s="1477">
        <v>45118</v>
      </c>
      <c r="F54" s="935">
        <f t="shared" si="1"/>
        <v>27.22</v>
      </c>
      <c r="G54" s="494" t="s">
        <v>561</v>
      </c>
      <c r="H54" s="495">
        <v>77</v>
      </c>
      <c r="I54" s="400">
        <f t="shared" si="6"/>
        <v>8808.1799999999967</v>
      </c>
      <c r="J54" s="401">
        <f t="shared" si="10"/>
        <v>324</v>
      </c>
      <c r="K54" s="402">
        <f t="shared" si="4"/>
        <v>2095.94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400">
        <f t="shared" si="8"/>
        <v>15937.140000000005</v>
      </c>
      <c r="V54" s="401">
        <f t="shared" si="11"/>
        <v>586</v>
      </c>
      <c r="W54" s="402">
        <f t="shared" si="5"/>
        <v>0</v>
      </c>
    </row>
    <row r="55" spans="1:23" x14ac:dyDescent="0.25">
      <c r="B55">
        <v>27.22</v>
      </c>
      <c r="C55" s="15">
        <v>1</v>
      </c>
      <c r="D55" s="935">
        <f t="shared" si="0"/>
        <v>27.22</v>
      </c>
      <c r="E55" s="1477">
        <v>45118</v>
      </c>
      <c r="F55" s="935">
        <f t="shared" si="1"/>
        <v>27.22</v>
      </c>
      <c r="G55" s="494" t="s">
        <v>562</v>
      </c>
      <c r="H55" s="495">
        <v>77</v>
      </c>
      <c r="I55" s="400">
        <f t="shared" si="6"/>
        <v>8780.9599999999973</v>
      </c>
      <c r="J55" s="401">
        <f t="shared" si="10"/>
        <v>323</v>
      </c>
      <c r="K55" s="402">
        <f t="shared" si="4"/>
        <v>2095.94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400">
        <f t="shared" si="8"/>
        <v>15937.140000000005</v>
      </c>
      <c r="V55" s="401">
        <f t="shared" si="11"/>
        <v>586</v>
      </c>
      <c r="W55" s="402">
        <f t="shared" si="5"/>
        <v>0</v>
      </c>
    </row>
    <row r="56" spans="1:23" x14ac:dyDescent="0.25">
      <c r="B56">
        <v>27.22</v>
      </c>
      <c r="C56" s="15">
        <v>7</v>
      </c>
      <c r="D56" s="935">
        <f t="shared" si="0"/>
        <v>190.54</v>
      </c>
      <c r="E56" s="1477">
        <v>45119</v>
      </c>
      <c r="F56" s="935">
        <f t="shared" si="1"/>
        <v>190.54</v>
      </c>
      <c r="G56" s="494" t="s">
        <v>573</v>
      </c>
      <c r="H56" s="495">
        <v>77</v>
      </c>
      <c r="I56" s="400">
        <f t="shared" si="6"/>
        <v>8590.4199999999964</v>
      </c>
      <c r="J56" s="401">
        <f t="shared" si="10"/>
        <v>316</v>
      </c>
      <c r="K56" s="402">
        <f t="shared" si="4"/>
        <v>14671.58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400">
        <f t="shared" si="8"/>
        <v>15937.140000000005</v>
      </c>
      <c r="V56" s="401">
        <f t="shared" si="11"/>
        <v>586</v>
      </c>
      <c r="W56" s="402">
        <f t="shared" si="5"/>
        <v>0</v>
      </c>
    </row>
    <row r="57" spans="1:23" x14ac:dyDescent="0.25">
      <c r="B57">
        <v>27.22</v>
      </c>
      <c r="C57" s="15">
        <v>24</v>
      </c>
      <c r="D57" s="935">
        <f t="shared" si="0"/>
        <v>653.28</v>
      </c>
      <c r="E57" s="1477">
        <v>45119</v>
      </c>
      <c r="F57" s="935">
        <f t="shared" si="1"/>
        <v>653.28</v>
      </c>
      <c r="G57" s="494" t="s">
        <v>576</v>
      </c>
      <c r="H57" s="495">
        <v>77</v>
      </c>
      <c r="I57" s="400">
        <f t="shared" si="6"/>
        <v>7937.1399999999967</v>
      </c>
      <c r="J57" s="401">
        <f t="shared" si="10"/>
        <v>292</v>
      </c>
      <c r="K57" s="402">
        <f t="shared" si="4"/>
        <v>50302.559999999998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400">
        <f t="shared" si="8"/>
        <v>15937.140000000005</v>
      </c>
      <c r="V57" s="401">
        <f t="shared" si="11"/>
        <v>586</v>
      </c>
      <c r="W57" s="402">
        <f t="shared" si="5"/>
        <v>0</v>
      </c>
    </row>
    <row r="58" spans="1:23" x14ac:dyDescent="0.25">
      <c r="B58">
        <v>27.22</v>
      </c>
      <c r="C58" s="15">
        <v>3</v>
      </c>
      <c r="D58" s="935">
        <f t="shared" si="0"/>
        <v>81.66</v>
      </c>
      <c r="E58" s="1477">
        <v>45119</v>
      </c>
      <c r="F58" s="935">
        <f t="shared" si="1"/>
        <v>81.66</v>
      </c>
      <c r="G58" s="494" t="s">
        <v>578</v>
      </c>
      <c r="H58" s="495">
        <v>77</v>
      </c>
      <c r="I58" s="400">
        <f t="shared" si="6"/>
        <v>7855.4799999999968</v>
      </c>
      <c r="J58" s="401">
        <f t="shared" si="10"/>
        <v>289</v>
      </c>
      <c r="K58" s="402">
        <f t="shared" si="4"/>
        <v>6287.82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400">
        <f t="shared" si="8"/>
        <v>15937.140000000005</v>
      </c>
      <c r="V58" s="401">
        <f t="shared" si="11"/>
        <v>586</v>
      </c>
      <c r="W58" s="402">
        <f t="shared" si="5"/>
        <v>0</v>
      </c>
    </row>
    <row r="59" spans="1:23" x14ac:dyDescent="0.25">
      <c r="B59">
        <v>27.22</v>
      </c>
      <c r="C59" s="15">
        <v>1</v>
      </c>
      <c r="D59" s="935">
        <f t="shared" si="0"/>
        <v>27.22</v>
      </c>
      <c r="E59" s="1477">
        <v>45120</v>
      </c>
      <c r="F59" s="935">
        <f t="shared" si="1"/>
        <v>27.22</v>
      </c>
      <c r="G59" s="494" t="s">
        <v>586</v>
      </c>
      <c r="H59" s="495">
        <v>77</v>
      </c>
      <c r="I59" s="400">
        <f t="shared" si="6"/>
        <v>7828.2599999999966</v>
      </c>
      <c r="J59" s="401">
        <f t="shared" si="10"/>
        <v>288</v>
      </c>
      <c r="K59" s="402">
        <f t="shared" si="4"/>
        <v>2095.94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400">
        <f t="shared" si="8"/>
        <v>15937.140000000005</v>
      </c>
      <c r="V59" s="401">
        <f t="shared" si="11"/>
        <v>586</v>
      </c>
      <c r="W59" s="402">
        <f t="shared" si="5"/>
        <v>0</v>
      </c>
    </row>
    <row r="60" spans="1:23" ht="15.75" thickBot="1" x14ac:dyDescent="0.3">
      <c r="A60" s="116"/>
      <c r="B60">
        <v>27.22</v>
      </c>
      <c r="C60" s="15">
        <v>24</v>
      </c>
      <c r="D60" s="935">
        <f t="shared" si="0"/>
        <v>653.28</v>
      </c>
      <c r="E60" s="1477">
        <v>45120</v>
      </c>
      <c r="F60" s="935">
        <f t="shared" si="1"/>
        <v>653.28</v>
      </c>
      <c r="G60" s="494" t="s">
        <v>594</v>
      </c>
      <c r="H60" s="495">
        <v>79</v>
      </c>
      <c r="I60" s="400">
        <f t="shared" si="6"/>
        <v>7174.9799999999968</v>
      </c>
      <c r="J60" s="401">
        <f t="shared" si="10"/>
        <v>264</v>
      </c>
      <c r="K60" s="402">
        <f t="shared" si="4"/>
        <v>51609.119999999995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400">
        <f t="shared" si="8"/>
        <v>15937.140000000005</v>
      </c>
      <c r="V60" s="401">
        <f t="shared" si="11"/>
        <v>586</v>
      </c>
      <c r="W60" s="402">
        <f t="shared" si="5"/>
        <v>0</v>
      </c>
    </row>
    <row r="61" spans="1:23" ht="15.75" thickTop="1" x14ac:dyDescent="0.25">
      <c r="B61">
        <v>27.22</v>
      </c>
      <c r="C61" s="15">
        <v>24</v>
      </c>
      <c r="D61" s="935">
        <f t="shared" si="0"/>
        <v>653.28</v>
      </c>
      <c r="E61" s="1477">
        <v>45121</v>
      </c>
      <c r="F61" s="935">
        <f t="shared" si="1"/>
        <v>653.28</v>
      </c>
      <c r="G61" s="494" t="s">
        <v>596</v>
      </c>
      <c r="H61" s="495">
        <v>79</v>
      </c>
      <c r="I61" s="400">
        <f t="shared" si="6"/>
        <v>6521.6999999999971</v>
      </c>
      <c r="J61" s="401">
        <f t="shared" si="10"/>
        <v>240</v>
      </c>
      <c r="K61" s="402">
        <f t="shared" si="4"/>
        <v>51609.119999999995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400">
        <f t="shared" si="8"/>
        <v>15937.140000000005</v>
      </c>
      <c r="V61" s="401">
        <f t="shared" si="11"/>
        <v>586</v>
      </c>
      <c r="W61" s="402">
        <f t="shared" si="5"/>
        <v>0</v>
      </c>
    </row>
    <row r="62" spans="1:23" x14ac:dyDescent="0.25">
      <c r="B62">
        <v>27.22</v>
      </c>
      <c r="C62" s="15">
        <v>1</v>
      </c>
      <c r="D62" s="935">
        <f t="shared" si="0"/>
        <v>27.22</v>
      </c>
      <c r="E62" s="1477">
        <v>45121</v>
      </c>
      <c r="F62" s="935">
        <f t="shared" si="1"/>
        <v>27.22</v>
      </c>
      <c r="G62" s="494" t="s">
        <v>598</v>
      </c>
      <c r="H62" s="495">
        <v>79</v>
      </c>
      <c r="I62" s="400">
        <f t="shared" si="6"/>
        <v>6494.4799999999968</v>
      </c>
      <c r="J62" s="401">
        <f t="shared" si="10"/>
        <v>239</v>
      </c>
      <c r="K62" s="402">
        <f t="shared" si="4"/>
        <v>2150.38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400">
        <f t="shared" si="8"/>
        <v>15937.140000000005</v>
      </c>
      <c r="V62" s="401">
        <f t="shared" si="11"/>
        <v>586</v>
      </c>
      <c r="W62" s="402">
        <f t="shared" si="5"/>
        <v>0</v>
      </c>
    </row>
    <row r="63" spans="1:23" x14ac:dyDescent="0.25">
      <c r="B63">
        <v>27.22</v>
      </c>
      <c r="C63" s="15">
        <v>5</v>
      </c>
      <c r="D63" s="935">
        <f t="shared" si="0"/>
        <v>136.1</v>
      </c>
      <c r="E63" s="1477">
        <v>45121</v>
      </c>
      <c r="F63" s="935">
        <f t="shared" si="1"/>
        <v>136.1</v>
      </c>
      <c r="G63" s="494" t="s">
        <v>600</v>
      </c>
      <c r="H63" s="495">
        <v>79</v>
      </c>
      <c r="I63" s="400">
        <f t="shared" si="6"/>
        <v>6358.3799999999965</v>
      </c>
      <c r="J63" s="401">
        <f t="shared" si="10"/>
        <v>234</v>
      </c>
      <c r="K63" s="402">
        <f t="shared" si="4"/>
        <v>10751.9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400">
        <f t="shared" si="8"/>
        <v>15937.140000000005</v>
      </c>
      <c r="V63" s="401">
        <f t="shared" si="11"/>
        <v>586</v>
      </c>
      <c r="W63" s="402">
        <f t="shared" si="5"/>
        <v>0</v>
      </c>
    </row>
    <row r="64" spans="1:23" x14ac:dyDescent="0.25">
      <c r="B64">
        <v>27.22</v>
      </c>
      <c r="C64" s="15">
        <v>10</v>
      </c>
      <c r="D64" s="935">
        <f t="shared" si="0"/>
        <v>272.2</v>
      </c>
      <c r="E64" s="1477">
        <v>45121</v>
      </c>
      <c r="F64" s="935">
        <f t="shared" si="1"/>
        <v>272.2</v>
      </c>
      <c r="G64" s="494" t="s">
        <v>604</v>
      </c>
      <c r="H64" s="495">
        <v>77</v>
      </c>
      <c r="I64" s="400">
        <f t="shared" si="6"/>
        <v>6086.1799999999967</v>
      </c>
      <c r="J64" s="401">
        <f t="shared" si="10"/>
        <v>224</v>
      </c>
      <c r="K64" s="402">
        <f t="shared" si="4"/>
        <v>20959.399999999998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400">
        <f t="shared" si="8"/>
        <v>15937.140000000005</v>
      </c>
      <c r="V64" s="401">
        <f t="shared" si="11"/>
        <v>586</v>
      </c>
      <c r="W64" s="402">
        <f t="shared" si="5"/>
        <v>0</v>
      </c>
    </row>
    <row r="65" spans="2:23" x14ac:dyDescent="0.25">
      <c r="B65">
        <v>27.22</v>
      </c>
      <c r="C65" s="15">
        <v>1</v>
      </c>
      <c r="D65" s="935">
        <f t="shared" si="0"/>
        <v>27.22</v>
      </c>
      <c r="E65" s="1477">
        <v>45122</v>
      </c>
      <c r="F65" s="935">
        <f t="shared" si="1"/>
        <v>27.22</v>
      </c>
      <c r="G65" s="494" t="s">
        <v>605</v>
      </c>
      <c r="H65" s="495">
        <v>79</v>
      </c>
      <c r="I65" s="400">
        <f t="shared" si="6"/>
        <v>6058.9599999999964</v>
      </c>
      <c r="J65" s="401">
        <f t="shared" si="10"/>
        <v>223</v>
      </c>
      <c r="K65" s="402">
        <f t="shared" si="4"/>
        <v>2150.38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400">
        <f t="shared" si="8"/>
        <v>15937.140000000005</v>
      </c>
      <c r="V65" s="401">
        <f t="shared" si="11"/>
        <v>586</v>
      </c>
      <c r="W65" s="402">
        <f t="shared" si="5"/>
        <v>0</v>
      </c>
    </row>
    <row r="66" spans="2:23" x14ac:dyDescent="0.25">
      <c r="B66">
        <v>27.22</v>
      </c>
      <c r="C66" s="15">
        <v>1</v>
      </c>
      <c r="D66" s="935">
        <f t="shared" si="0"/>
        <v>27.22</v>
      </c>
      <c r="E66" s="1477">
        <v>45122</v>
      </c>
      <c r="F66" s="935">
        <f t="shared" si="1"/>
        <v>27.22</v>
      </c>
      <c r="G66" s="494" t="s">
        <v>606</v>
      </c>
      <c r="H66" s="495">
        <v>79</v>
      </c>
      <c r="I66" s="400">
        <f t="shared" si="6"/>
        <v>6031.7399999999961</v>
      </c>
      <c r="J66" s="401">
        <f t="shared" si="10"/>
        <v>222</v>
      </c>
      <c r="K66" s="402">
        <f t="shared" si="4"/>
        <v>2150.38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400">
        <f t="shared" si="8"/>
        <v>15937.140000000005</v>
      </c>
      <c r="V66" s="401">
        <f t="shared" si="11"/>
        <v>586</v>
      </c>
      <c r="W66" s="402">
        <f t="shared" si="5"/>
        <v>0</v>
      </c>
    </row>
    <row r="67" spans="2:23" x14ac:dyDescent="0.25">
      <c r="B67">
        <v>27.22</v>
      </c>
      <c r="C67" s="15">
        <v>10</v>
      </c>
      <c r="D67" s="935">
        <f t="shared" si="0"/>
        <v>272.2</v>
      </c>
      <c r="E67" s="1477">
        <v>45122</v>
      </c>
      <c r="F67" s="935">
        <f t="shared" si="1"/>
        <v>272.2</v>
      </c>
      <c r="G67" s="494" t="s">
        <v>610</v>
      </c>
      <c r="H67" s="495">
        <v>79</v>
      </c>
      <c r="I67" s="400">
        <f t="shared" si="6"/>
        <v>5759.5399999999963</v>
      </c>
      <c r="J67" s="401">
        <f t="shared" si="10"/>
        <v>212</v>
      </c>
      <c r="K67" s="402">
        <f t="shared" si="4"/>
        <v>21503.8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400">
        <f t="shared" si="8"/>
        <v>15937.140000000005</v>
      </c>
      <c r="V67" s="401">
        <f t="shared" si="11"/>
        <v>586</v>
      </c>
      <c r="W67" s="402">
        <f t="shared" si="5"/>
        <v>0</v>
      </c>
    </row>
    <row r="68" spans="2:23" x14ac:dyDescent="0.25">
      <c r="B68">
        <v>27.22</v>
      </c>
      <c r="C68" s="15">
        <v>40</v>
      </c>
      <c r="D68" s="935">
        <f t="shared" si="0"/>
        <v>1088.8</v>
      </c>
      <c r="E68" s="1477">
        <v>45124</v>
      </c>
      <c r="F68" s="935">
        <f t="shared" si="1"/>
        <v>1088.8</v>
      </c>
      <c r="G68" s="494" t="s">
        <v>617</v>
      </c>
      <c r="H68" s="495">
        <v>79</v>
      </c>
      <c r="I68" s="400">
        <f t="shared" si="6"/>
        <v>4670.7399999999961</v>
      </c>
      <c r="J68" s="401">
        <f t="shared" si="10"/>
        <v>172</v>
      </c>
      <c r="K68" s="402">
        <f t="shared" si="4"/>
        <v>86015.2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400">
        <f t="shared" si="8"/>
        <v>15937.140000000005</v>
      </c>
      <c r="V68" s="401">
        <f t="shared" si="11"/>
        <v>586</v>
      </c>
      <c r="W68" s="402">
        <f t="shared" si="5"/>
        <v>0</v>
      </c>
    </row>
    <row r="69" spans="2:23" x14ac:dyDescent="0.25">
      <c r="B69">
        <v>27.22</v>
      </c>
      <c r="C69" s="15">
        <v>4</v>
      </c>
      <c r="D69" s="935">
        <f t="shared" si="0"/>
        <v>108.88</v>
      </c>
      <c r="E69" s="1477">
        <v>45124</v>
      </c>
      <c r="F69" s="935">
        <f t="shared" si="1"/>
        <v>108.88</v>
      </c>
      <c r="G69" s="494" t="s">
        <v>622</v>
      </c>
      <c r="H69" s="495">
        <v>79</v>
      </c>
      <c r="I69" s="400">
        <f t="shared" si="6"/>
        <v>4561.859999999996</v>
      </c>
      <c r="J69" s="401">
        <f t="shared" si="10"/>
        <v>168</v>
      </c>
      <c r="K69" s="402">
        <f t="shared" si="4"/>
        <v>8601.52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400">
        <f t="shared" si="8"/>
        <v>15937.140000000005</v>
      </c>
      <c r="V69" s="401">
        <f t="shared" si="11"/>
        <v>586</v>
      </c>
      <c r="W69" s="402">
        <f t="shared" si="5"/>
        <v>0</v>
      </c>
    </row>
    <row r="70" spans="2:23" x14ac:dyDescent="0.25">
      <c r="B70">
        <v>27.22</v>
      </c>
      <c r="C70" s="15">
        <v>1</v>
      </c>
      <c r="D70" s="935">
        <f t="shared" si="0"/>
        <v>27.22</v>
      </c>
      <c r="E70" s="1477">
        <v>45125</v>
      </c>
      <c r="F70" s="935">
        <f t="shared" si="1"/>
        <v>27.22</v>
      </c>
      <c r="G70" s="494" t="s">
        <v>625</v>
      </c>
      <c r="H70" s="495">
        <v>79</v>
      </c>
      <c r="I70" s="400">
        <f t="shared" si="6"/>
        <v>4534.6399999999958</v>
      </c>
      <c r="J70" s="401">
        <f t="shared" si="10"/>
        <v>167</v>
      </c>
      <c r="K70" s="402">
        <f t="shared" si="4"/>
        <v>2150.38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400">
        <f t="shared" si="8"/>
        <v>15937.140000000005</v>
      </c>
      <c r="V70" s="401">
        <f t="shared" si="11"/>
        <v>586</v>
      </c>
      <c r="W70" s="402">
        <f t="shared" si="5"/>
        <v>0</v>
      </c>
    </row>
    <row r="71" spans="2:23" x14ac:dyDescent="0.25">
      <c r="B71">
        <v>27.22</v>
      </c>
      <c r="C71" s="15">
        <v>1</v>
      </c>
      <c r="D71" s="1277">
        <f t="shared" si="0"/>
        <v>27.22</v>
      </c>
      <c r="E71" s="1324">
        <v>45125</v>
      </c>
      <c r="F71" s="1277">
        <f t="shared" si="1"/>
        <v>27.22</v>
      </c>
      <c r="G71" s="1276" t="s">
        <v>627</v>
      </c>
      <c r="H71" s="194">
        <v>79</v>
      </c>
      <c r="I71" s="400">
        <f t="shared" si="6"/>
        <v>4507.4199999999955</v>
      </c>
      <c r="J71" s="401">
        <f t="shared" si="10"/>
        <v>166</v>
      </c>
      <c r="K71" s="402">
        <f t="shared" si="4"/>
        <v>2150.38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400">
        <f t="shared" si="8"/>
        <v>15937.140000000005</v>
      </c>
      <c r="V71" s="401">
        <f t="shared" si="11"/>
        <v>586</v>
      </c>
      <c r="W71" s="402">
        <f t="shared" si="5"/>
        <v>0</v>
      </c>
    </row>
    <row r="72" spans="2:23" x14ac:dyDescent="0.25">
      <c r="B72">
        <v>27.22</v>
      </c>
      <c r="C72" s="15">
        <v>1</v>
      </c>
      <c r="D72" s="1277">
        <f t="shared" si="0"/>
        <v>27.22</v>
      </c>
      <c r="E72" s="1324">
        <v>45125</v>
      </c>
      <c r="F72" s="1277">
        <f t="shared" si="1"/>
        <v>27.22</v>
      </c>
      <c r="G72" s="1276" t="s">
        <v>628</v>
      </c>
      <c r="H72" s="194">
        <v>79</v>
      </c>
      <c r="I72" s="400">
        <f t="shared" si="6"/>
        <v>4480.1999999999953</v>
      </c>
      <c r="J72" s="401">
        <f t="shared" si="10"/>
        <v>165</v>
      </c>
      <c r="K72" s="402">
        <f t="shared" si="4"/>
        <v>2150.38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400">
        <f t="shared" si="8"/>
        <v>15937.140000000005</v>
      </c>
      <c r="V72" s="401">
        <f t="shared" si="11"/>
        <v>586</v>
      </c>
      <c r="W72" s="402">
        <f t="shared" si="5"/>
        <v>0</v>
      </c>
    </row>
    <row r="73" spans="2:23" x14ac:dyDescent="0.25">
      <c r="B73">
        <v>27.22</v>
      </c>
      <c r="C73" s="15">
        <v>5</v>
      </c>
      <c r="D73" s="1277">
        <f t="shared" ref="D73:D114" si="12">C73*B73</f>
        <v>136.1</v>
      </c>
      <c r="E73" s="1324">
        <v>45125</v>
      </c>
      <c r="F73" s="1277">
        <f t="shared" ref="F73:F114" si="13">D73</f>
        <v>136.1</v>
      </c>
      <c r="G73" s="1276" t="s">
        <v>632</v>
      </c>
      <c r="H73" s="194">
        <v>79</v>
      </c>
      <c r="I73" s="400">
        <f t="shared" si="6"/>
        <v>4344.0999999999949</v>
      </c>
      <c r="J73" s="401">
        <f t="shared" si="10"/>
        <v>160</v>
      </c>
      <c r="K73" s="402">
        <f t="shared" si="4"/>
        <v>10751.9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400">
        <f t="shared" si="8"/>
        <v>15937.140000000005</v>
      </c>
      <c r="V73" s="401">
        <f t="shared" si="11"/>
        <v>586</v>
      </c>
      <c r="W73" s="402">
        <f t="shared" si="5"/>
        <v>0</v>
      </c>
    </row>
    <row r="74" spans="2:23" x14ac:dyDescent="0.25">
      <c r="B74">
        <v>27.22</v>
      </c>
      <c r="C74" s="15">
        <v>24</v>
      </c>
      <c r="D74" s="1277">
        <f t="shared" si="12"/>
        <v>653.28</v>
      </c>
      <c r="E74" s="1324">
        <v>45125</v>
      </c>
      <c r="F74" s="1277">
        <f t="shared" si="13"/>
        <v>653.28</v>
      </c>
      <c r="G74" s="1276" t="s">
        <v>634</v>
      </c>
      <c r="H74" s="194">
        <v>79</v>
      </c>
      <c r="I74" s="400">
        <f t="shared" si="6"/>
        <v>3690.8199999999952</v>
      </c>
      <c r="J74" s="401">
        <f t="shared" si="10"/>
        <v>136</v>
      </c>
      <c r="K74" s="402">
        <f t="shared" ref="K74:K114" si="16">F74*H74</f>
        <v>51609.119999999995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400">
        <f t="shared" si="8"/>
        <v>15937.140000000005</v>
      </c>
      <c r="V74" s="401">
        <f t="shared" si="11"/>
        <v>586</v>
      </c>
      <c r="W74" s="402">
        <f t="shared" ref="W74:W114" si="17">R74*T74</f>
        <v>0</v>
      </c>
    </row>
    <row r="75" spans="2:23" x14ac:dyDescent="0.25">
      <c r="B75">
        <v>27.22</v>
      </c>
      <c r="C75" s="15">
        <v>6</v>
      </c>
      <c r="D75" s="1277">
        <f t="shared" si="12"/>
        <v>163.32</v>
      </c>
      <c r="E75" s="1324">
        <v>45126</v>
      </c>
      <c r="F75" s="1277">
        <f t="shared" si="13"/>
        <v>163.32</v>
      </c>
      <c r="G75" s="1276" t="s">
        <v>640</v>
      </c>
      <c r="H75" s="194">
        <v>79</v>
      </c>
      <c r="I75" s="400">
        <f t="shared" ref="I75:I113" si="18">I74-F75</f>
        <v>3527.499999999995</v>
      </c>
      <c r="J75" s="401">
        <f t="shared" si="10"/>
        <v>130</v>
      </c>
      <c r="K75" s="402">
        <f t="shared" si="16"/>
        <v>12902.279999999999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400">
        <f t="shared" ref="U75:U113" si="19">U74-R75</f>
        <v>15937.140000000005</v>
      </c>
      <c r="V75" s="401">
        <f t="shared" si="11"/>
        <v>586</v>
      </c>
      <c r="W75" s="402">
        <f t="shared" si="17"/>
        <v>0</v>
      </c>
    </row>
    <row r="76" spans="2:23" x14ac:dyDescent="0.25">
      <c r="B76">
        <v>27.22</v>
      </c>
      <c r="C76" s="15">
        <v>1</v>
      </c>
      <c r="D76" s="1277">
        <f t="shared" si="12"/>
        <v>27.22</v>
      </c>
      <c r="E76" s="1324">
        <v>45126</v>
      </c>
      <c r="F76" s="1277">
        <f t="shared" si="13"/>
        <v>27.22</v>
      </c>
      <c r="G76" s="1276" t="s">
        <v>644</v>
      </c>
      <c r="H76" s="194">
        <v>79</v>
      </c>
      <c r="I76" s="400">
        <f t="shared" si="18"/>
        <v>3500.2799999999952</v>
      </c>
      <c r="J76" s="401">
        <f t="shared" si="10"/>
        <v>129</v>
      </c>
      <c r="K76" s="402">
        <f t="shared" si="16"/>
        <v>2150.38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400">
        <f t="shared" si="19"/>
        <v>15937.140000000005</v>
      </c>
      <c r="V76" s="401">
        <f t="shared" si="11"/>
        <v>586</v>
      </c>
      <c r="W76" s="402">
        <f t="shared" si="17"/>
        <v>0</v>
      </c>
    </row>
    <row r="77" spans="2:23" x14ac:dyDescent="0.25">
      <c r="B77">
        <v>27.22</v>
      </c>
      <c r="C77" s="15">
        <v>24</v>
      </c>
      <c r="D77" s="1277">
        <f t="shared" si="12"/>
        <v>653.28</v>
      </c>
      <c r="E77" s="1324">
        <v>45127</v>
      </c>
      <c r="F77" s="1277">
        <f t="shared" si="13"/>
        <v>653.28</v>
      </c>
      <c r="G77" s="1276" t="s">
        <v>654</v>
      </c>
      <c r="H77" s="194">
        <v>79</v>
      </c>
      <c r="I77" s="400">
        <f t="shared" si="18"/>
        <v>2846.9999999999955</v>
      </c>
      <c r="J77" s="1546">
        <f t="shared" ref="J77:J113" si="20">J76-C77</f>
        <v>105</v>
      </c>
      <c r="K77" s="402">
        <f t="shared" si="16"/>
        <v>51609.119999999995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400">
        <f t="shared" si="19"/>
        <v>15937.140000000005</v>
      </c>
      <c r="V77" s="401">
        <f t="shared" ref="V77:V113" si="21">V76-O77</f>
        <v>586</v>
      </c>
      <c r="W77" s="402">
        <f t="shared" si="17"/>
        <v>0</v>
      </c>
    </row>
    <row r="78" spans="2:23" x14ac:dyDescent="0.25">
      <c r="B78">
        <v>27.22</v>
      </c>
      <c r="C78" s="15">
        <v>1</v>
      </c>
      <c r="D78" s="1277">
        <f t="shared" si="12"/>
        <v>27.22</v>
      </c>
      <c r="E78" s="1324">
        <v>45128</v>
      </c>
      <c r="F78" s="1277">
        <f t="shared" si="13"/>
        <v>27.22</v>
      </c>
      <c r="G78" s="1276" t="s">
        <v>660</v>
      </c>
      <c r="H78" s="194">
        <v>79</v>
      </c>
      <c r="I78" s="400">
        <f t="shared" si="18"/>
        <v>2819.7799999999957</v>
      </c>
      <c r="J78" s="401">
        <f t="shared" si="20"/>
        <v>104</v>
      </c>
      <c r="K78" s="402">
        <f t="shared" si="16"/>
        <v>2150.38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400">
        <f t="shared" si="19"/>
        <v>15937.140000000005</v>
      </c>
      <c r="V78" s="401">
        <f t="shared" si="21"/>
        <v>586</v>
      </c>
      <c r="W78" s="402">
        <f t="shared" si="17"/>
        <v>0</v>
      </c>
    </row>
    <row r="79" spans="2:23" x14ac:dyDescent="0.25">
      <c r="B79">
        <v>27.22</v>
      </c>
      <c r="C79" s="15">
        <v>1</v>
      </c>
      <c r="D79" s="1277">
        <f t="shared" si="12"/>
        <v>27.22</v>
      </c>
      <c r="E79" s="1324">
        <v>45128</v>
      </c>
      <c r="F79" s="1277">
        <f t="shared" si="13"/>
        <v>27.22</v>
      </c>
      <c r="G79" s="1276" t="s">
        <v>663</v>
      </c>
      <c r="H79" s="194">
        <v>77</v>
      </c>
      <c r="I79" s="400">
        <f t="shared" si="18"/>
        <v>2792.5599999999959</v>
      </c>
      <c r="J79" s="401">
        <f t="shared" si="20"/>
        <v>103</v>
      </c>
      <c r="K79" s="402">
        <f t="shared" si="16"/>
        <v>2095.94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400">
        <f t="shared" si="19"/>
        <v>15937.140000000005</v>
      </c>
      <c r="V79" s="401">
        <f t="shared" si="21"/>
        <v>586</v>
      </c>
      <c r="W79" s="402">
        <f t="shared" si="17"/>
        <v>0</v>
      </c>
    </row>
    <row r="80" spans="2:23" x14ac:dyDescent="0.25">
      <c r="B80">
        <v>27.22</v>
      </c>
      <c r="C80" s="15">
        <v>1</v>
      </c>
      <c r="D80" s="1277">
        <f t="shared" si="12"/>
        <v>27.22</v>
      </c>
      <c r="E80" s="1324">
        <v>45128</v>
      </c>
      <c r="F80" s="1277">
        <f t="shared" si="13"/>
        <v>27.22</v>
      </c>
      <c r="G80" s="1276" t="s">
        <v>664</v>
      </c>
      <c r="H80" s="194">
        <v>79</v>
      </c>
      <c r="I80" s="400">
        <f t="shared" si="18"/>
        <v>2765.3399999999961</v>
      </c>
      <c r="J80" s="401">
        <f t="shared" si="20"/>
        <v>102</v>
      </c>
      <c r="K80" s="402">
        <f t="shared" si="16"/>
        <v>2150.38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400">
        <f t="shared" si="19"/>
        <v>15937.140000000005</v>
      </c>
      <c r="V80" s="401">
        <f t="shared" si="21"/>
        <v>586</v>
      </c>
      <c r="W80" s="402">
        <f t="shared" si="17"/>
        <v>0</v>
      </c>
    </row>
    <row r="81" spans="2:23" x14ac:dyDescent="0.25">
      <c r="B81">
        <v>27.22</v>
      </c>
      <c r="C81" s="15"/>
      <c r="D81" s="750">
        <f t="shared" si="12"/>
        <v>0</v>
      </c>
      <c r="E81" s="1547"/>
      <c r="F81" s="750">
        <f t="shared" si="13"/>
        <v>0</v>
      </c>
      <c r="G81" s="751"/>
      <c r="H81" s="194">
        <v>79</v>
      </c>
      <c r="I81" s="400">
        <f t="shared" si="18"/>
        <v>2765.3399999999961</v>
      </c>
      <c r="J81" s="401">
        <f t="shared" si="20"/>
        <v>102</v>
      </c>
      <c r="K81" s="402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400">
        <f t="shared" si="19"/>
        <v>15937.140000000005</v>
      </c>
      <c r="V81" s="401">
        <f t="shared" si="21"/>
        <v>586</v>
      </c>
      <c r="W81" s="402">
        <f t="shared" si="17"/>
        <v>0</v>
      </c>
    </row>
    <row r="82" spans="2:23" x14ac:dyDescent="0.25">
      <c r="B82">
        <v>27.22</v>
      </c>
      <c r="C82" s="15">
        <v>10</v>
      </c>
      <c r="D82" s="1277">
        <f t="shared" si="12"/>
        <v>272.2</v>
      </c>
      <c r="E82" s="1324">
        <v>45129</v>
      </c>
      <c r="F82" s="1277">
        <f t="shared" si="13"/>
        <v>272.2</v>
      </c>
      <c r="G82" s="1276" t="s">
        <v>670</v>
      </c>
      <c r="H82" s="194">
        <v>79</v>
      </c>
      <c r="I82" s="400">
        <f t="shared" si="18"/>
        <v>2493.1399999999962</v>
      </c>
      <c r="J82" s="401">
        <f t="shared" si="20"/>
        <v>92</v>
      </c>
      <c r="K82" s="402">
        <f t="shared" si="16"/>
        <v>21503.8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400">
        <f t="shared" si="19"/>
        <v>15937.140000000005</v>
      </c>
      <c r="V82" s="401">
        <f t="shared" si="21"/>
        <v>586</v>
      </c>
      <c r="W82" s="402">
        <f t="shared" si="17"/>
        <v>0</v>
      </c>
    </row>
    <row r="83" spans="2:23" x14ac:dyDescent="0.25">
      <c r="B83">
        <v>27.22</v>
      </c>
      <c r="C83" s="15">
        <v>40</v>
      </c>
      <c r="D83" s="1277">
        <f t="shared" si="12"/>
        <v>1088.8</v>
      </c>
      <c r="E83" s="1324">
        <v>45129</v>
      </c>
      <c r="F83" s="1277">
        <f t="shared" si="13"/>
        <v>1088.8</v>
      </c>
      <c r="G83" s="1276" t="s">
        <v>671</v>
      </c>
      <c r="H83" s="194">
        <v>79</v>
      </c>
      <c r="I83" s="400">
        <f t="shared" si="18"/>
        <v>1404.3399999999963</v>
      </c>
      <c r="J83" s="401">
        <f t="shared" si="20"/>
        <v>52</v>
      </c>
      <c r="K83" s="402">
        <f t="shared" si="16"/>
        <v>86015.2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400">
        <f t="shared" si="19"/>
        <v>15937.140000000005</v>
      </c>
      <c r="V83" s="401">
        <f t="shared" si="21"/>
        <v>586</v>
      </c>
      <c r="W83" s="402">
        <f t="shared" si="17"/>
        <v>0</v>
      </c>
    </row>
    <row r="84" spans="2:23" x14ac:dyDescent="0.25">
      <c r="B84">
        <v>27.22</v>
      </c>
      <c r="C84" s="15">
        <v>1</v>
      </c>
      <c r="D84" s="935">
        <f t="shared" si="12"/>
        <v>27.22</v>
      </c>
      <c r="E84" s="1477">
        <v>45129</v>
      </c>
      <c r="F84" s="935">
        <f t="shared" si="13"/>
        <v>27.22</v>
      </c>
      <c r="G84" s="494" t="s">
        <v>672</v>
      </c>
      <c r="H84" s="495">
        <v>79</v>
      </c>
      <c r="I84" s="400">
        <f t="shared" si="18"/>
        <v>1377.1199999999963</v>
      </c>
      <c r="J84" s="401">
        <f t="shared" si="20"/>
        <v>51</v>
      </c>
      <c r="K84" s="402">
        <f t="shared" si="16"/>
        <v>2150.38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400">
        <f t="shared" si="19"/>
        <v>15937.140000000005</v>
      </c>
      <c r="V84" s="401">
        <f t="shared" si="21"/>
        <v>586</v>
      </c>
      <c r="W84" s="402">
        <f t="shared" si="17"/>
        <v>0</v>
      </c>
    </row>
    <row r="85" spans="2:23" x14ac:dyDescent="0.25">
      <c r="B85">
        <v>27.22</v>
      </c>
      <c r="C85" s="15">
        <v>10</v>
      </c>
      <c r="D85" s="935">
        <f t="shared" si="12"/>
        <v>272.2</v>
      </c>
      <c r="E85" s="1477">
        <v>45129</v>
      </c>
      <c r="F85" s="935">
        <f t="shared" si="13"/>
        <v>272.2</v>
      </c>
      <c r="G85" s="494" t="s">
        <v>677</v>
      </c>
      <c r="H85" s="495">
        <v>79</v>
      </c>
      <c r="I85" s="400">
        <f t="shared" si="18"/>
        <v>1104.9199999999962</v>
      </c>
      <c r="J85" s="401">
        <f t="shared" si="20"/>
        <v>41</v>
      </c>
      <c r="K85" s="402">
        <f t="shared" si="16"/>
        <v>21503.8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400">
        <f t="shared" si="19"/>
        <v>15937.140000000005</v>
      </c>
      <c r="V85" s="401">
        <f t="shared" si="21"/>
        <v>586</v>
      </c>
      <c r="W85" s="402">
        <f t="shared" si="17"/>
        <v>0</v>
      </c>
    </row>
    <row r="86" spans="2:23" x14ac:dyDescent="0.25">
      <c r="B86">
        <v>27.22</v>
      </c>
      <c r="C86" s="15">
        <v>5</v>
      </c>
      <c r="D86" s="935">
        <f t="shared" si="12"/>
        <v>136.1</v>
      </c>
      <c r="E86" s="1477">
        <v>45131</v>
      </c>
      <c r="F86" s="935">
        <f t="shared" si="13"/>
        <v>136.1</v>
      </c>
      <c r="G86" s="494" t="s">
        <v>678</v>
      </c>
      <c r="H86" s="495">
        <v>79</v>
      </c>
      <c r="I86" s="400">
        <f t="shared" si="18"/>
        <v>968.81999999999618</v>
      </c>
      <c r="J86" s="401">
        <f t="shared" si="20"/>
        <v>36</v>
      </c>
      <c r="K86" s="402">
        <f t="shared" si="16"/>
        <v>10751.9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400">
        <f t="shared" si="19"/>
        <v>15937.140000000005</v>
      </c>
      <c r="V86" s="401">
        <f t="shared" si="21"/>
        <v>586</v>
      </c>
      <c r="W86" s="402">
        <f t="shared" si="17"/>
        <v>0</v>
      </c>
    </row>
    <row r="87" spans="2:23" x14ac:dyDescent="0.25">
      <c r="B87">
        <v>27.22</v>
      </c>
      <c r="C87" s="15">
        <v>1</v>
      </c>
      <c r="D87" s="935">
        <f t="shared" si="12"/>
        <v>27.22</v>
      </c>
      <c r="E87" s="1477">
        <v>45133</v>
      </c>
      <c r="F87" s="935">
        <f t="shared" si="13"/>
        <v>27.22</v>
      </c>
      <c r="G87" s="494" t="s">
        <v>696</v>
      </c>
      <c r="H87" s="495">
        <v>79</v>
      </c>
      <c r="I87" s="400">
        <f t="shared" si="18"/>
        <v>941.59999999999616</v>
      </c>
      <c r="J87" s="401">
        <f t="shared" si="20"/>
        <v>35</v>
      </c>
      <c r="K87" s="402">
        <f t="shared" si="16"/>
        <v>2150.38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400">
        <f t="shared" si="19"/>
        <v>15937.140000000005</v>
      </c>
      <c r="V87" s="401">
        <f t="shared" si="21"/>
        <v>586</v>
      </c>
      <c r="W87" s="402">
        <f t="shared" si="17"/>
        <v>0</v>
      </c>
    </row>
    <row r="88" spans="2:23" x14ac:dyDescent="0.25">
      <c r="B88">
        <v>27.22</v>
      </c>
      <c r="C88" s="15">
        <v>24</v>
      </c>
      <c r="D88" s="935">
        <f t="shared" si="12"/>
        <v>653.28</v>
      </c>
      <c r="E88" s="1477">
        <v>45133</v>
      </c>
      <c r="F88" s="935">
        <f t="shared" si="13"/>
        <v>653.28</v>
      </c>
      <c r="G88" s="494" t="s">
        <v>697</v>
      </c>
      <c r="H88" s="495">
        <v>79</v>
      </c>
      <c r="I88" s="400">
        <f t="shared" si="18"/>
        <v>288.31999999999618</v>
      </c>
      <c r="J88" s="401">
        <f t="shared" si="20"/>
        <v>11</v>
      </c>
      <c r="K88" s="402">
        <f t="shared" si="16"/>
        <v>51609.119999999995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400">
        <f t="shared" si="19"/>
        <v>15937.140000000005</v>
      </c>
      <c r="V88" s="401">
        <f t="shared" si="21"/>
        <v>586</v>
      </c>
      <c r="W88" s="402">
        <f t="shared" si="17"/>
        <v>0</v>
      </c>
    </row>
    <row r="89" spans="2:23" x14ac:dyDescent="0.25">
      <c r="B89">
        <v>27.22</v>
      </c>
      <c r="C89" s="15">
        <v>2</v>
      </c>
      <c r="D89" s="935">
        <f t="shared" si="12"/>
        <v>54.44</v>
      </c>
      <c r="E89" s="1477">
        <v>45133</v>
      </c>
      <c r="F89" s="935">
        <f t="shared" si="13"/>
        <v>54.44</v>
      </c>
      <c r="G89" s="494" t="s">
        <v>698</v>
      </c>
      <c r="H89" s="495">
        <v>79</v>
      </c>
      <c r="I89" s="400">
        <f t="shared" si="18"/>
        <v>233.87999999999619</v>
      </c>
      <c r="J89" s="401">
        <f t="shared" si="20"/>
        <v>9</v>
      </c>
      <c r="K89" s="402">
        <f t="shared" si="16"/>
        <v>4300.76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400">
        <f t="shared" si="19"/>
        <v>15937.140000000005</v>
      </c>
      <c r="V89" s="401">
        <f t="shared" si="21"/>
        <v>586</v>
      </c>
      <c r="W89" s="402">
        <f t="shared" si="17"/>
        <v>0</v>
      </c>
    </row>
    <row r="90" spans="2:23" x14ac:dyDescent="0.25">
      <c r="B90">
        <v>27.22</v>
      </c>
      <c r="C90" s="15"/>
      <c r="D90" s="935">
        <f t="shared" si="12"/>
        <v>0</v>
      </c>
      <c r="E90" s="1477"/>
      <c r="F90" s="935">
        <f t="shared" si="13"/>
        <v>0</v>
      </c>
      <c r="G90" s="494"/>
      <c r="H90" s="495"/>
      <c r="I90" s="400">
        <f t="shared" si="18"/>
        <v>233.87999999999619</v>
      </c>
      <c r="J90" s="401">
        <f t="shared" si="20"/>
        <v>9</v>
      </c>
      <c r="K90" s="402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400">
        <f t="shared" si="19"/>
        <v>15937.140000000005</v>
      </c>
      <c r="V90" s="401">
        <f t="shared" si="21"/>
        <v>586</v>
      </c>
      <c r="W90" s="402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400">
        <f t="shared" si="18"/>
        <v>233.87999999999619</v>
      </c>
      <c r="J91" s="401">
        <f t="shared" si="20"/>
        <v>9</v>
      </c>
      <c r="K91" s="402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400">
        <f t="shared" si="19"/>
        <v>15937.140000000005</v>
      </c>
      <c r="V91" s="401">
        <f t="shared" si="21"/>
        <v>586</v>
      </c>
      <c r="W91" s="402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400">
        <f t="shared" si="18"/>
        <v>233.87999999999619</v>
      </c>
      <c r="J92" s="401">
        <f t="shared" si="20"/>
        <v>9</v>
      </c>
      <c r="K92" s="402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400">
        <f t="shared" si="19"/>
        <v>15937.140000000005</v>
      </c>
      <c r="V92" s="401">
        <f t="shared" si="21"/>
        <v>586</v>
      </c>
      <c r="W92" s="402">
        <f t="shared" si="17"/>
        <v>0</v>
      </c>
    </row>
    <row r="93" spans="2:23" x14ac:dyDescent="0.25">
      <c r="B93">
        <v>27.22</v>
      </c>
      <c r="C93" s="15">
        <v>9</v>
      </c>
      <c r="D93" s="68">
        <v>233.88</v>
      </c>
      <c r="E93" s="232"/>
      <c r="F93" s="68">
        <f t="shared" si="13"/>
        <v>233.88</v>
      </c>
      <c r="G93" s="69"/>
      <c r="H93" s="1520"/>
      <c r="I93" s="1538">
        <f t="shared" si="18"/>
        <v>-3.808509063674137E-12</v>
      </c>
      <c r="J93" s="1539">
        <f t="shared" si="20"/>
        <v>0</v>
      </c>
      <c r="K93" s="1540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400">
        <f t="shared" si="19"/>
        <v>15937.140000000005</v>
      </c>
      <c r="V93" s="401">
        <f t="shared" si="21"/>
        <v>586</v>
      </c>
      <c r="W93" s="402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1520"/>
      <c r="I94" s="1538">
        <f t="shared" si="18"/>
        <v>-3.808509063674137E-12</v>
      </c>
      <c r="J94" s="1539">
        <f t="shared" si="20"/>
        <v>0</v>
      </c>
      <c r="K94" s="1540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400">
        <f t="shared" si="19"/>
        <v>15937.140000000005</v>
      </c>
      <c r="V94" s="401">
        <f t="shared" si="21"/>
        <v>586</v>
      </c>
      <c r="W94" s="402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1520"/>
      <c r="I95" s="1538">
        <f t="shared" si="18"/>
        <v>-3.808509063674137E-12</v>
      </c>
      <c r="J95" s="1539">
        <f t="shared" si="20"/>
        <v>0</v>
      </c>
      <c r="K95" s="1540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400">
        <f t="shared" si="19"/>
        <v>15937.140000000005</v>
      </c>
      <c r="V95" s="401">
        <f t="shared" si="21"/>
        <v>586</v>
      </c>
      <c r="W95" s="402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1520"/>
      <c r="I96" s="1538">
        <f t="shared" si="18"/>
        <v>-3.808509063674137E-12</v>
      </c>
      <c r="J96" s="1539">
        <f t="shared" si="20"/>
        <v>0</v>
      </c>
      <c r="K96" s="1540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400">
        <f t="shared" si="19"/>
        <v>15937.140000000005</v>
      </c>
      <c r="V96" s="401">
        <f t="shared" si="21"/>
        <v>586</v>
      </c>
      <c r="W96" s="402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1520"/>
      <c r="I97" s="1538">
        <f t="shared" si="18"/>
        <v>-3.808509063674137E-12</v>
      </c>
      <c r="J97" s="1539">
        <f t="shared" si="20"/>
        <v>0</v>
      </c>
      <c r="K97" s="1540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400">
        <f t="shared" si="19"/>
        <v>15937.140000000005</v>
      </c>
      <c r="V97" s="401">
        <f t="shared" si="21"/>
        <v>586</v>
      </c>
      <c r="W97" s="402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1520"/>
      <c r="I98" s="1538">
        <f t="shared" si="18"/>
        <v>-3.808509063674137E-12</v>
      </c>
      <c r="J98" s="1539">
        <f t="shared" si="20"/>
        <v>0</v>
      </c>
      <c r="K98" s="1540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400">
        <f t="shared" si="19"/>
        <v>15937.140000000005</v>
      </c>
      <c r="V98" s="401">
        <f t="shared" si="21"/>
        <v>586</v>
      </c>
      <c r="W98" s="402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400">
        <f t="shared" si="18"/>
        <v>-3.808509063674137E-12</v>
      </c>
      <c r="J99" s="401">
        <f t="shared" si="20"/>
        <v>0</v>
      </c>
      <c r="K99" s="402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400">
        <f t="shared" si="19"/>
        <v>15937.140000000005</v>
      </c>
      <c r="V99" s="401">
        <f t="shared" si="21"/>
        <v>586</v>
      </c>
      <c r="W99" s="402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400">
        <f t="shared" si="18"/>
        <v>-3.808509063674137E-12</v>
      </c>
      <c r="J100" s="401">
        <f t="shared" si="20"/>
        <v>0</v>
      </c>
      <c r="K100" s="402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400">
        <f t="shared" si="19"/>
        <v>15937.140000000005</v>
      </c>
      <c r="V100" s="401">
        <f t="shared" si="21"/>
        <v>586</v>
      </c>
      <c r="W100" s="402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400">
        <f t="shared" si="18"/>
        <v>-3.808509063674137E-12</v>
      </c>
      <c r="J101" s="401">
        <f t="shared" si="20"/>
        <v>0</v>
      </c>
      <c r="K101" s="402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400">
        <f t="shared" si="19"/>
        <v>15937.140000000005</v>
      </c>
      <c r="V101" s="401">
        <f t="shared" si="21"/>
        <v>586</v>
      </c>
      <c r="W101" s="402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400">
        <f t="shared" si="18"/>
        <v>-3.808509063674137E-12</v>
      </c>
      <c r="J102" s="401">
        <f t="shared" si="20"/>
        <v>0</v>
      </c>
      <c r="K102" s="402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400">
        <f t="shared" si="19"/>
        <v>15937.140000000005</v>
      </c>
      <c r="V102" s="401">
        <f t="shared" si="21"/>
        <v>586</v>
      </c>
      <c r="W102" s="402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400">
        <f t="shared" si="18"/>
        <v>-3.808509063674137E-12</v>
      </c>
      <c r="J103" s="401">
        <f t="shared" si="20"/>
        <v>0</v>
      </c>
      <c r="K103" s="402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400">
        <f t="shared" si="19"/>
        <v>15937.140000000005</v>
      </c>
      <c r="V103" s="401">
        <f t="shared" si="21"/>
        <v>586</v>
      </c>
      <c r="W103" s="402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400">
        <f t="shared" si="18"/>
        <v>-3.808509063674137E-12</v>
      </c>
      <c r="J104" s="401">
        <f t="shared" si="20"/>
        <v>0</v>
      </c>
      <c r="K104" s="402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400">
        <f t="shared" si="19"/>
        <v>15937.140000000005</v>
      </c>
      <c r="V104" s="401">
        <f t="shared" si="21"/>
        <v>586</v>
      </c>
      <c r="W104" s="402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400">
        <f t="shared" si="18"/>
        <v>-3.808509063674137E-12</v>
      </c>
      <c r="J105" s="401">
        <f t="shared" si="20"/>
        <v>0</v>
      </c>
      <c r="K105" s="402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400">
        <f t="shared" si="19"/>
        <v>15937.140000000005</v>
      </c>
      <c r="V105" s="401">
        <f t="shared" si="21"/>
        <v>586</v>
      </c>
      <c r="W105" s="402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400">
        <f t="shared" si="18"/>
        <v>-3.808509063674137E-12</v>
      </c>
      <c r="J106" s="401">
        <f t="shared" si="20"/>
        <v>0</v>
      </c>
      <c r="K106" s="402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400">
        <f t="shared" si="19"/>
        <v>15937.140000000005</v>
      </c>
      <c r="V106" s="401">
        <f t="shared" si="21"/>
        <v>586</v>
      </c>
      <c r="W106" s="402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400">
        <f t="shared" si="18"/>
        <v>-3.808509063674137E-12</v>
      </c>
      <c r="J107" s="401">
        <f t="shared" si="20"/>
        <v>0</v>
      </c>
      <c r="K107" s="402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400">
        <f t="shared" si="19"/>
        <v>15937.140000000005</v>
      </c>
      <c r="V107" s="401">
        <f t="shared" si="21"/>
        <v>586</v>
      </c>
      <c r="W107" s="402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400">
        <f t="shared" si="18"/>
        <v>-3.808509063674137E-12</v>
      </c>
      <c r="J108" s="401">
        <f t="shared" si="20"/>
        <v>0</v>
      </c>
      <c r="K108" s="402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400">
        <f t="shared" si="19"/>
        <v>15937.140000000005</v>
      </c>
      <c r="V108" s="401">
        <f t="shared" si="21"/>
        <v>586</v>
      </c>
      <c r="W108" s="402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400">
        <f t="shared" si="18"/>
        <v>-3.808509063674137E-12</v>
      </c>
      <c r="J109" s="401">
        <f t="shared" si="20"/>
        <v>0</v>
      </c>
      <c r="K109" s="402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400">
        <f t="shared" si="19"/>
        <v>15937.140000000005</v>
      </c>
      <c r="V109" s="401">
        <f t="shared" si="21"/>
        <v>586</v>
      </c>
      <c r="W109" s="402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400">
        <f t="shared" si="18"/>
        <v>-3.808509063674137E-12</v>
      </c>
      <c r="J110" s="401">
        <f t="shared" si="20"/>
        <v>0</v>
      </c>
      <c r="K110" s="402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400">
        <f t="shared" si="19"/>
        <v>15937.140000000005</v>
      </c>
      <c r="V110" s="401">
        <f t="shared" si="21"/>
        <v>586</v>
      </c>
      <c r="W110" s="402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400">
        <f t="shared" si="18"/>
        <v>-3.808509063674137E-12</v>
      </c>
      <c r="J111" s="401">
        <f t="shared" si="20"/>
        <v>0</v>
      </c>
      <c r="K111" s="402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400">
        <f t="shared" si="19"/>
        <v>15937.140000000005</v>
      </c>
      <c r="V111" s="401">
        <f t="shared" si="21"/>
        <v>586</v>
      </c>
      <c r="W111" s="402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400">
        <f t="shared" si="18"/>
        <v>-3.808509063674137E-12</v>
      </c>
      <c r="J112" s="401">
        <f t="shared" si="20"/>
        <v>0</v>
      </c>
      <c r="K112" s="402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400">
        <f t="shared" si="19"/>
        <v>15937.140000000005</v>
      </c>
      <c r="V112" s="401">
        <f t="shared" si="21"/>
        <v>586</v>
      </c>
      <c r="W112" s="402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400">
        <f t="shared" si="18"/>
        <v>-3.808509063674137E-12</v>
      </c>
      <c r="J113" s="401">
        <f t="shared" si="20"/>
        <v>0</v>
      </c>
      <c r="K113" s="403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400">
        <f t="shared" si="19"/>
        <v>15937.140000000005</v>
      </c>
      <c r="V113" s="401">
        <f t="shared" si="21"/>
        <v>586</v>
      </c>
      <c r="W113" s="403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61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61"/>
      <c r="U114" s="24"/>
      <c r="V114" s="24"/>
      <c r="W114" s="189">
        <f t="shared" si="17"/>
        <v>0</v>
      </c>
    </row>
    <row r="115" spans="1:23" x14ac:dyDescent="0.25">
      <c r="C115" s="53">
        <f>SUM(C9:C114)</f>
        <v>689</v>
      </c>
      <c r="D115" s="6">
        <f>SUM(D9:D114)</f>
        <v>18743.479999999996</v>
      </c>
      <c r="F115" s="6">
        <f>SUM(F9:F114)</f>
        <v>18743.479999999996</v>
      </c>
      <c r="O115" s="53">
        <f>SUM(O9:O114)</f>
        <v>93</v>
      </c>
      <c r="P115" s="6">
        <f>SUM(P9:P114)</f>
        <v>2531.4599999999996</v>
      </c>
      <c r="R115" s="6">
        <f>SUM(R9:R114)</f>
        <v>2531.4599999999996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0</v>
      </c>
      <c r="P118" s="45" t="s">
        <v>4</v>
      </c>
      <c r="Q118" s="55">
        <f>R5-O115+R4+R6</f>
        <v>586</v>
      </c>
    </row>
    <row r="119" spans="1:23" ht="15.75" thickBot="1" x14ac:dyDescent="0.3"/>
    <row r="120" spans="1:23" ht="15.75" thickBot="1" x14ac:dyDescent="0.3">
      <c r="C120" s="1665" t="s">
        <v>11</v>
      </c>
      <c r="D120" s="1666"/>
      <c r="E120" s="56">
        <f>E4+E5+E6-F115</f>
        <v>0</v>
      </c>
      <c r="G120" s="47"/>
      <c r="H120" s="90"/>
      <c r="O120" s="1665" t="s">
        <v>11</v>
      </c>
      <c r="P120" s="1666"/>
      <c r="Q120" s="56">
        <f>Q4+Q5+Q6-R115</f>
        <v>15937.140000000003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9" activePane="bottomLeft" state="frozen"/>
      <selection pane="bottomLeft" activeCell="D22" sqref="D2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663" t="s">
        <v>318</v>
      </c>
      <c r="B1" s="1663"/>
      <c r="C1" s="1663"/>
      <c r="D1" s="1663"/>
      <c r="E1" s="1663"/>
      <c r="F1" s="1663"/>
      <c r="G1" s="1663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71"/>
      <c r="D4" s="672"/>
      <c r="E4" s="692"/>
      <c r="F4" s="664"/>
      <c r="G4" s="1146"/>
    </row>
    <row r="5" spans="1:11" ht="15.75" customHeight="1" x14ac:dyDescent="0.25">
      <c r="A5" s="1667" t="s">
        <v>80</v>
      </c>
      <c r="B5" s="1148" t="s">
        <v>62</v>
      </c>
      <c r="C5" s="577">
        <v>89</v>
      </c>
      <c r="D5" s="578">
        <v>45098</v>
      </c>
      <c r="E5" s="565">
        <v>2352.94</v>
      </c>
      <c r="F5" s="576">
        <v>131</v>
      </c>
      <c r="G5" s="47">
        <f>F68</f>
        <v>767.64</v>
      </c>
      <c r="H5" s="7">
        <f>E5-G5+E4+E6+E7</f>
        <v>1585.3000000000002</v>
      </c>
    </row>
    <row r="6" spans="1:11" ht="15" customHeight="1" x14ac:dyDescent="0.25">
      <c r="A6" s="1667"/>
      <c r="B6" s="1707" t="s">
        <v>200</v>
      </c>
      <c r="C6" s="674"/>
      <c r="D6" s="674"/>
      <c r="E6" s="674"/>
      <c r="F6" s="673"/>
    </row>
    <row r="7" spans="1:11" ht="15.75" thickBot="1" x14ac:dyDescent="0.3">
      <c r="B7" s="1708"/>
      <c r="C7" s="675"/>
      <c r="D7" s="675"/>
      <c r="E7" s="675"/>
      <c r="F7" s="673"/>
    </row>
    <row r="8" spans="1:11" ht="16.5" thickTop="1" thickBot="1" x14ac:dyDescent="0.3">
      <c r="B8" s="63" t="s">
        <v>7</v>
      </c>
      <c r="C8" s="632" t="s">
        <v>8</v>
      </c>
      <c r="D8" s="633" t="s">
        <v>3</v>
      </c>
      <c r="E8" s="634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42">
        <f>F4+F5+F6+F7-C9</f>
        <v>131</v>
      </c>
      <c r="C9" s="576"/>
      <c r="D9" s="565"/>
      <c r="E9" s="643"/>
      <c r="F9" s="565">
        <f t="shared" ref="F9:F67" si="0">D9</f>
        <v>0</v>
      </c>
      <c r="G9" s="563"/>
      <c r="H9" s="564"/>
      <c r="I9" s="631">
        <f>E6+E5+E4-F9+E7</f>
        <v>2352.94</v>
      </c>
    </row>
    <row r="10" spans="1:11" x14ac:dyDescent="0.25">
      <c r="A10" s="76"/>
      <c r="B10" s="670">
        <f t="shared" ref="B10:B11" si="1">B9-C10</f>
        <v>111</v>
      </c>
      <c r="C10" s="576">
        <v>20</v>
      </c>
      <c r="D10" s="565">
        <v>350.97</v>
      </c>
      <c r="E10" s="643">
        <v>45099</v>
      </c>
      <c r="F10" s="565">
        <f t="shared" ref="F10" si="2">D10</f>
        <v>350.97</v>
      </c>
      <c r="G10" s="563" t="s">
        <v>248</v>
      </c>
      <c r="H10" s="520">
        <v>89</v>
      </c>
      <c r="I10" s="644">
        <f t="shared" ref="I10:I11" si="3">I9-F10</f>
        <v>2001.97</v>
      </c>
    </row>
    <row r="11" spans="1:11" x14ac:dyDescent="0.25">
      <c r="A11" s="12"/>
      <c r="B11" s="628">
        <f t="shared" si="1"/>
        <v>111</v>
      </c>
      <c r="C11" s="723"/>
      <c r="D11" s="708"/>
      <c r="E11" s="927"/>
      <c r="F11" s="708">
        <f t="shared" si="0"/>
        <v>0</v>
      </c>
      <c r="G11" s="709"/>
      <c r="H11" s="710"/>
      <c r="I11" s="631">
        <f t="shared" si="3"/>
        <v>2001.97</v>
      </c>
      <c r="K11" s="639"/>
    </row>
    <row r="12" spans="1:11" x14ac:dyDescent="0.25">
      <c r="A12" s="54" t="s">
        <v>33</v>
      </c>
      <c r="B12" s="724">
        <f>B11-C12</f>
        <v>107</v>
      </c>
      <c r="C12" s="723">
        <v>4</v>
      </c>
      <c r="D12" s="639">
        <v>78.319999999999993</v>
      </c>
      <c r="E12" s="1288">
        <v>45114</v>
      </c>
      <c r="F12" s="639">
        <f t="shared" si="0"/>
        <v>78.319999999999993</v>
      </c>
      <c r="G12" s="1059" t="s">
        <v>528</v>
      </c>
      <c r="H12" s="1060">
        <v>91</v>
      </c>
      <c r="I12" s="644">
        <f>I11-F12</f>
        <v>1923.65</v>
      </c>
      <c r="K12" s="639"/>
    </row>
    <row r="13" spans="1:11" x14ac:dyDescent="0.25">
      <c r="A13" s="76"/>
      <c r="B13" s="724">
        <f t="shared" ref="B13:B66" si="4">B12-C13</f>
        <v>102</v>
      </c>
      <c r="C13" s="723">
        <v>5</v>
      </c>
      <c r="D13" s="639">
        <v>86.97</v>
      </c>
      <c r="E13" s="1288">
        <v>45115</v>
      </c>
      <c r="F13" s="639">
        <f t="shared" si="0"/>
        <v>86.97</v>
      </c>
      <c r="G13" s="1059" t="s">
        <v>544</v>
      </c>
      <c r="H13" s="1060">
        <v>91</v>
      </c>
      <c r="I13" s="644">
        <f t="shared" ref="I13:I67" si="5">I12-F13</f>
        <v>1836.68</v>
      </c>
      <c r="K13" s="639"/>
    </row>
    <row r="14" spans="1:11" x14ac:dyDescent="0.25">
      <c r="A14" s="12"/>
      <c r="B14" s="724">
        <f t="shared" si="4"/>
        <v>101</v>
      </c>
      <c r="C14" s="723">
        <v>1</v>
      </c>
      <c r="D14" s="639">
        <v>17.989999999999998</v>
      </c>
      <c r="E14" s="1288">
        <v>45119</v>
      </c>
      <c r="F14" s="639">
        <f t="shared" si="0"/>
        <v>17.989999999999998</v>
      </c>
      <c r="G14" s="1059" t="s">
        <v>573</v>
      </c>
      <c r="H14" s="1060">
        <v>91</v>
      </c>
      <c r="I14" s="644">
        <f t="shared" si="5"/>
        <v>1818.69</v>
      </c>
      <c r="K14" s="639"/>
    </row>
    <row r="15" spans="1:11" x14ac:dyDescent="0.25">
      <c r="B15" s="724">
        <f t="shared" si="4"/>
        <v>99</v>
      </c>
      <c r="C15" s="723">
        <v>2</v>
      </c>
      <c r="D15" s="639">
        <v>34.020000000000003</v>
      </c>
      <c r="E15" s="1288">
        <v>45121</v>
      </c>
      <c r="F15" s="639">
        <f t="shared" si="0"/>
        <v>34.020000000000003</v>
      </c>
      <c r="G15" s="1059" t="s">
        <v>601</v>
      </c>
      <c r="H15" s="1060">
        <v>91</v>
      </c>
      <c r="I15" s="644">
        <f t="shared" si="5"/>
        <v>1784.67</v>
      </c>
      <c r="K15" s="639"/>
    </row>
    <row r="16" spans="1:11" x14ac:dyDescent="0.25">
      <c r="B16" s="724">
        <f t="shared" si="4"/>
        <v>89</v>
      </c>
      <c r="C16" s="723">
        <v>10</v>
      </c>
      <c r="D16" s="639">
        <v>183.04</v>
      </c>
      <c r="E16" s="1288">
        <v>45132</v>
      </c>
      <c r="F16" s="639">
        <f t="shared" si="0"/>
        <v>183.04</v>
      </c>
      <c r="G16" s="1059" t="s">
        <v>686</v>
      </c>
      <c r="H16" s="1534">
        <v>89</v>
      </c>
      <c r="I16" s="644">
        <f t="shared" si="5"/>
        <v>1601.63</v>
      </c>
      <c r="K16" s="639"/>
    </row>
    <row r="17" spans="2:11" x14ac:dyDescent="0.25">
      <c r="B17" s="724">
        <f t="shared" si="4"/>
        <v>88</v>
      </c>
      <c r="C17" s="723">
        <v>1</v>
      </c>
      <c r="D17" s="639">
        <v>16.329999999999998</v>
      </c>
      <c r="E17" s="1288">
        <v>45134</v>
      </c>
      <c r="F17" s="639">
        <f t="shared" si="0"/>
        <v>16.329999999999998</v>
      </c>
      <c r="G17" s="1059" t="s">
        <v>710</v>
      </c>
      <c r="H17" s="1060">
        <v>91</v>
      </c>
      <c r="I17" s="644">
        <f t="shared" si="5"/>
        <v>1585.3000000000002</v>
      </c>
      <c r="K17" s="639"/>
    </row>
    <row r="18" spans="2:11" x14ac:dyDescent="0.25">
      <c r="B18" s="724">
        <f t="shared" si="4"/>
        <v>88</v>
      </c>
      <c r="C18" s="723"/>
      <c r="D18" s="639"/>
      <c r="E18" s="1288"/>
      <c r="F18" s="639">
        <f t="shared" si="0"/>
        <v>0</v>
      </c>
      <c r="G18" s="1059"/>
      <c r="H18" s="1060"/>
      <c r="I18" s="644">
        <f t="shared" si="5"/>
        <v>1585.3000000000002</v>
      </c>
      <c r="K18" s="5"/>
    </row>
    <row r="19" spans="2:11" x14ac:dyDescent="0.25">
      <c r="B19" s="724">
        <f t="shared" si="4"/>
        <v>88</v>
      </c>
      <c r="C19" s="723"/>
      <c r="D19" s="639"/>
      <c r="E19" s="1288"/>
      <c r="F19" s="639">
        <f t="shared" si="0"/>
        <v>0</v>
      </c>
      <c r="G19" s="1059"/>
      <c r="H19" s="1060"/>
      <c r="I19" s="644">
        <f t="shared" si="5"/>
        <v>1585.3000000000002</v>
      </c>
    </row>
    <row r="20" spans="2:11" x14ac:dyDescent="0.25">
      <c r="B20" s="724">
        <f t="shared" si="4"/>
        <v>88</v>
      </c>
      <c r="C20" s="723"/>
      <c r="D20" s="639"/>
      <c r="E20" s="1288"/>
      <c r="F20" s="639">
        <f t="shared" si="0"/>
        <v>0</v>
      </c>
      <c r="G20" s="1059"/>
      <c r="H20" s="1060"/>
      <c r="I20" s="644">
        <f t="shared" si="5"/>
        <v>1585.3000000000002</v>
      </c>
    </row>
    <row r="21" spans="2:11" x14ac:dyDescent="0.25">
      <c r="B21" s="724">
        <f t="shared" si="4"/>
        <v>88</v>
      </c>
      <c r="C21" s="723"/>
      <c r="D21" s="639"/>
      <c r="E21" s="1288"/>
      <c r="F21" s="639">
        <f t="shared" si="0"/>
        <v>0</v>
      </c>
      <c r="G21" s="1059"/>
      <c r="H21" s="1060"/>
      <c r="I21" s="644">
        <f t="shared" si="5"/>
        <v>1585.3000000000002</v>
      </c>
    </row>
    <row r="22" spans="2:11" x14ac:dyDescent="0.25">
      <c r="B22" s="724">
        <f t="shared" si="4"/>
        <v>88</v>
      </c>
      <c r="C22" s="723"/>
      <c r="D22" s="639"/>
      <c r="E22" s="1288"/>
      <c r="F22" s="639">
        <f t="shared" si="0"/>
        <v>0</v>
      </c>
      <c r="G22" s="1059"/>
      <c r="H22" s="1060"/>
      <c r="I22" s="644">
        <f t="shared" si="5"/>
        <v>1585.3000000000002</v>
      </c>
    </row>
    <row r="23" spans="2:11" x14ac:dyDescent="0.25">
      <c r="B23" s="724">
        <f t="shared" si="4"/>
        <v>88</v>
      </c>
      <c r="C23" s="723"/>
      <c r="D23" s="639"/>
      <c r="E23" s="1288"/>
      <c r="F23" s="639">
        <f t="shared" si="0"/>
        <v>0</v>
      </c>
      <c r="G23" s="1059"/>
      <c r="H23" s="1060"/>
      <c r="I23" s="644">
        <f t="shared" si="5"/>
        <v>1585.3000000000002</v>
      </c>
    </row>
    <row r="24" spans="2:11" x14ac:dyDescent="0.25">
      <c r="B24" s="724">
        <f t="shared" si="4"/>
        <v>88</v>
      </c>
      <c r="C24" s="723"/>
      <c r="D24" s="639"/>
      <c r="E24" s="1288"/>
      <c r="F24" s="639">
        <f t="shared" si="0"/>
        <v>0</v>
      </c>
      <c r="G24" s="1059"/>
      <c r="H24" s="1060"/>
      <c r="I24" s="644">
        <f t="shared" si="5"/>
        <v>1585.3000000000002</v>
      </c>
    </row>
    <row r="25" spans="2:11" x14ac:dyDescent="0.25">
      <c r="B25" s="724">
        <f t="shared" si="4"/>
        <v>88</v>
      </c>
      <c r="C25" s="723"/>
      <c r="D25" s="639"/>
      <c r="E25" s="1288"/>
      <c r="F25" s="639">
        <f t="shared" si="0"/>
        <v>0</v>
      </c>
      <c r="G25" s="1059"/>
      <c r="H25" s="1060"/>
      <c r="I25" s="644">
        <f t="shared" si="5"/>
        <v>1585.3000000000002</v>
      </c>
    </row>
    <row r="26" spans="2:11" x14ac:dyDescent="0.25">
      <c r="B26" s="724">
        <f t="shared" si="4"/>
        <v>88</v>
      </c>
      <c r="C26" s="723"/>
      <c r="D26" s="565"/>
      <c r="E26" s="643"/>
      <c r="F26" s="565">
        <f t="shared" si="0"/>
        <v>0</v>
      </c>
      <c r="G26" s="563"/>
      <c r="H26" s="564"/>
      <c r="I26" s="644">
        <f t="shared" si="5"/>
        <v>1585.3000000000002</v>
      </c>
    </row>
    <row r="27" spans="2:11" x14ac:dyDescent="0.25">
      <c r="B27" s="724">
        <f t="shared" si="4"/>
        <v>88</v>
      </c>
      <c r="C27" s="723"/>
      <c r="D27" s="565"/>
      <c r="E27" s="643"/>
      <c r="F27" s="565">
        <f t="shared" si="0"/>
        <v>0</v>
      </c>
      <c r="G27" s="563"/>
      <c r="H27" s="564"/>
      <c r="I27" s="644">
        <f t="shared" si="5"/>
        <v>1585.3000000000002</v>
      </c>
    </row>
    <row r="28" spans="2:11" x14ac:dyDescent="0.25">
      <c r="B28" s="724">
        <f t="shared" si="4"/>
        <v>88</v>
      </c>
      <c r="C28" s="723"/>
      <c r="D28" s="565"/>
      <c r="E28" s="643"/>
      <c r="F28" s="565">
        <f t="shared" si="0"/>
        <v>0</v>
      </c>
      <c r="G28" s="563"/>
      <c r="H28" s="564"/>
      <c r="I28" s="644">
        <f t="shared" si="5"/>
        <v>1585.3000000000002</v>
      </c>
    </row>
    <row r="29" spans="2:11" x14ac:dyDescent="0.25">
      <c r="B29" s="724">
        <f t="shared" si="4"/>
        <v>88</v>
      </c>
      <c r="C29" s="723"/>
      <c r="D29" s="565"/>
      <c r="E29" s="643"/>
      <c r="F29" s="565">
        <f t="shared" si="0"/>
        <v>0</v>
      </c>
      <c r="G29" s="563"/>
      <c r="H29" s="564"/>
      <c r="I29" s="644">
        <f t="shared" si="5"/>
        <v>1585.3000000000002</v>
      </c>
    </row>
    <row r="30" spans="2:11" x14ac:dyDescent="0.25">
      <c r="B30" s="724">
        <f t="shared" si="4"/>
        <v>88</v>
      </c>
      <c r="C30" s="723"/>
      <c r="D30" s="565"/>
      <c r="E30" s="643"/>
      <c r="F30" s="565">
        <f t="shared" si="0"/>
        <v>0</v>
      </c>
      <c r="G30" s="563"/>
      <c r="H30" s="564"/>
      <c r="I30" s="644">
        <f t="shared" si="5"/>
        <v>1585.3000000000002</v>
      </c>
    </row>
    <row r="31" spans="2:11" x14ac:dyDescent="0.25">
      <c r="B31" s="724">
        <f t="shared" si="4"/>
        <v>88</v>
      </c>
      <c r="C31" s="576"/>
      <c r="D31" s="565"/>
      <c r="E31" s="643"/>
      <c r="F31" s="565">
        <f t="shared" si="0"/>
        <v>0</v>
      </c>
      <c r="G31" s="563"/>
      <c r="H31" s="564"/>
      <c r="I31" s="644">
        <f t="shared" si="5"/>
        <v>1585.3000000000002</v>
      </c>
    </row>
    <row r="32" spans="2:11" x14ac:dyDescent="0.25">
      <c r="B32" s="724">
        <f t="shared" si="4"/>
        <v>88</v>
      </c>
      <c r="C32" s="576"/>
      <c r="D32" s="565"/>
      <c r="E32" s="643"/>
      <c r="F32" s="565">
        <f t="shared" si="0"/>
        <v>0</v>
      </c>
      <c r="G32" s="563"/>
      <c r="H32" s="564"/>
      <c r="I32" s="644">
        <f t="shared" si="5"/>
        <v>1585.3000000000002</v>
      </c>
    </row>
    <row r="33" spans="2:9" x14ac:dyDescent="0.25">
      <c r="B33" s="724">
        <f t="shared" si="4"/>
        <v>88</v>
      </c>
      <c r="C33" s="576"/>
      <c r="D33" s="565"/>
      <c r="E33" s="643"/>
      <c r="F33" s="565">
        <f t="shared" si="0"/>
        <v>0</v>
      </c>
      <c r="G33" s="563"/>
      <c r="H33" s="564"/>
      <c r="I33" s="644">
        <f t="shared" si="5"/>
        <v>1585.3000000000002</v>
      </c>
    </row>
    <row r="34" spans="2:9" x14ac:dyDescent="0.25">
      <c r="B34" s="724">
        <f t="shared" si="4"/>
        <v>88</v>
      </c>
      <c r="C34" s="576"/>
      <c r="D34" s="565"/>
      <c r="E34" s="643"/>
      <c r="F34" s="565">
        <f t="shared" si="0"/>
        <v>0</v>
      </c>
      <c r="G34" s="563"/>
      <c r="H34" s="564"/>
      <c r="I34" s="644">
        <f t="shared" si="5"/>
        <v>1585.3000000000002</v>
      </c>
    </row>
    <row r="35" spans="2:9" x14ac:dyDescent="0.25">
      <c r="B35" s="724">
        <f t="shared" si="4"/>
        <v>88</v>
      </c>
      <c r="C35" s="576"/>
      <c r="D35" s="565"/>
      <c r="E35" s="643"/>
      <c r="F35" s="565">
        <f t="shared" si="0"/>
        <v>0</v>
      </c>
      <c r="G35" s="563"/>
      <c r="H35" s="564"/>
      <c r="I35" s="644">
        <f t="shared" si="5"/>
        <v>1585.3000000000002</v>
      </c>
    </row>
    <row r="36" spans="2:9" x14ac:dyDescent="0.25">
      <c r="B36" s="724">
        <f t="shared" si="4"/>
        <v>88</v>
      </c>
      <c r="C36" s="576"/>
      <c r="D36" s="565"/>
      <c r="E36" s="643"/>
      <c r="F36" s="565">
        <f t="shared" si="0"/>
        <v>0</v>
      </c>
      <c r="G36" s="563"/>
      <c r="H36" s="564"/>
      <c r="I36" s="644">
        <f t="shared" si="5"/>
        <v>1585.3000000000002</v>
      </c>
    </row>
    <row r="37" spans="2:9" x14ac:dyDescent="0.25">
      <c r="B37" s="724">
        <f t="shared" si="4"/>
        <v>88</v>
      </c>
      <c r="C37" s="576"/>
      <c r="D37" s="565"/>
      <c r="E37" s="643"/>
      <c r="F37" s="565">
        <f t="shared" si="0"/>
        <v>0</v>
      </c>
      <c r="G37" s="563"/>
      <c r="H37" s="564"/>
      <c r="I37" s="644">
        <f t="shared" si="5"/>
        <v>1585.3000000000002</v>
      </c>
    </row>
    <row r="38" spans="2:9" x14ac:dyDescent="0.25">
      <c r="B38" s="724">
        <f t="shared" si="4"/>
        <v>88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5"/>
        <v>1585.3000000000002</v>
      </c>
    </row>
    <row r="39" spans="2:9" x14ac:dyDescent="0.25">
      <c r="B39" s="724">
        <f t="shared" si="4"/>
        <v>88</v>
      </c>
      <c r="C39" s="624"/>
      <c r="D39" s="565"/>
      <c r="E39" s="643"/>
      <c r="F39" s="565">
        <f t="shared" si="0"/>
        <v>0</v>
      </c>
      <c r="G39" s="563"/>
      <c r="H39" s="564"/>
      <c r="I39" s="644">
        <f t="shared" si="5"/>
        <v>1585.3000000000002</v>
      </c>
    </row>
    <row r="40" spans="2:9" x14ac:dyDescent="0.25">
      <c r="B40" s="724">
        <f t="shared" si="4"/>
        <v>88</v>
      </c>
      <c r="C40" s="624"/>
      <c r="D40" s="565"/>
      <c r="E40" s="643"/>
      <c r="F40" s="565">
        <f t="shared" si="0"/>
        <v>0</v>
      </c>
      <c r="G40" s="563"/>
      <c r="H40" s="564"/>
      <c r="I40" s="644">
        <f t="shared" si="5"/>
        <v>1585.3000000000002</v>
      </c>
    </row>
    <row r="41" spans="2:9" x14ac:dyDescent="0.25">
      <c r="B41" s="724">
        <f t="shared" si="4"/>
        <v>88</v>
      </c>
      <c r="C41" s="624"/>
      <c r="D41" s="565"/>
      <c r="E41" s="643"/>
      <c r="F41" s="565">
        <f t="shared" si="0"/>
        <v>0</v>
      </c>
      <c r="G41" s="563"/>
      <c r="H41" s="564"/>
      <c r="I41" s="644">
        <f t="shared" si="5"/>
        <v>1585.3000000000002</v>
      </c>
    </row>
    <row r="42" spans="2:9" x14ac:dyDescent="0.25">
      <c r="B42" s="724">
        <f t="shared" si="4"/>
        <v>88</v>
      </c>
      <c r="C42" s="624"/>
      <c r="D42" s="565"/>
      <c r="E42" s="643"/>
      <c r="F42" s="565">
        <f t="shared" si="0"/>
        <v>0</v>
      </c>
      <c r="G42" s="563"/>
      <c r="H42" s="564"/>
      <c r="I42" s="644">
        <f t="shared" si="5"/>
        <v>1585.3000000000002</v>
      </c>
    </row>
    <row r="43" spans="2:9" x14ac:dyDescent="0.25">
      <c r="B43" s="724">
        <f t="shared" si="4"/>
        <v>88</v>
      </c>
      <c r="C43" s="624"/>
      <c r="D43" s="565"/>
      <c r="E43" s="643"/>
      <c r="F43" s="565">
        <f t="shared" si="0"/>
        <v>0</v>
      </c>
      <c r="G43" s="563"/>
      <c r="H43" s="564"/>
      <c r="I43" s="644">
        <f t="shared" si="5"/>
        <v>1585.3000000000002</v>
      </c>
    </row>
    <row r="44" spans="2:9" x14ac:dyDescent="0.25">
      <c r="B44" s="724">
        <f t="shared" si="4"/>
        <v>88</v>
      </c>
      <c r="C44" s="624"/>
      <c r="D44" s="565"/>
      <c r="E44" s="643"/>
      <c r="F44" s="565">
        <f t="shared" si="0"/>
        <v>0</v>
      </c>
      <c r="G44" s="563"/>
      <c r="H44" s="564"/>
      <c r="I44" s="644">
        <f t="shared" si="5"/>
        <v>1585.3000000000002</v>
      </c>
    </row>
    <row r="45" spans="2:9" x14ac:dyDescent="0.25">
      <c r="B45" s="724">
        <f t="shared" si="4"/>
        <v>88</v>
      </c>
      <c r="C45" s="624"/>
      <c r="D45" s="565"/>
      <c r="E45" s="643"/>
      <c r="F45" s="565">
        <f t="shared" si="0"/>
        <v>0</v>
      </c>
      <c r="G45" s="563"/>
      <c r="H45" s="564"/>
      <c r="I45" s="644">
        <f t="shared" si="5"/>
        <v>1585.3000000000002</v>
      </c>
    </row>
    <row r="46" spans="2:9" x14ac:dyDescent="0.25">
      <c r="B46" s="724">
        <f t="shared" si="4"/>
        <v>88</v>
      </c>
      <c r="C46" s="624"/>
      <c r="D46" s="565"/>
      <c r="E46" s="643"/>
      <c r="F46" s="565">
        <f t="shared" si="0"/>
        <v>0</v>
      </c>
      <c r="G46" s="563"/>
      <c r="H46" s="564"/>
      <c r="I46" s="644">
        <f t="shared" si="5"/>
        <v>1585.3000000000002</v>
      </c>
    </row>
    <row r="47" spans="2:9" x14ac:dyDescent="0.25">
      <c r="B47" s="724">
        <f t="shared" si="4"/>
        <v>88</v>
      </c>
      <c r="C47" s="624"/>
      <c r="D47" s="565"/>
      <c r="E47" s="643"/>
      <c r="F47" s="565">
        <f t="shared" si="0"/>
        <v>0</v>
      </c>
      <c r="G47" s="563"/>
      <c r="H47" s="564"/>
      <c r="I47" s="644">
        <f t="shared" si="5"/>
        <v>1585.3000000000002</v>
      </c>
    </row>
    <row r="48" spans="2:9" x14ac:dyDescent="0.25">
      <c r="B48" s="724">
        <f t="shared" si="4"/>
        <v>88</v>
      </c>
      <c r="C48" s="624"/>
      <c r="D48" s="565"/>
      <c r="E48" s="643"/>
      <c r="F48" s="565">
        <f t="shared" si="0"/>
        <v>0</v>
      </c>
      <c r="G48" s="563"/>
      <c r="H48" s="564"/>
      <c r="I48" s="644">
        <f t="shared" si="5"/>
        <v>1585.3000000000002</v>
      </c>
    </row>
    <row r="49" spans="2:9" x14ac:dyDescent="0.25">
      <c r="B49" s="724">
        <f t="shared" si="4"/>
        <v>88</v>
      </c>
      <c r="C49" s="624"/>
      <c r="D49" s="565"/>
      <c r="E49" s="643"/>
      <c r="F49" s="565">
        <f t="shared" si="0"/>
        <v>0</v>
      </c>
      <c r="G49" s="563"/>
      <c r="H49" s="564"/>
      <c r="I49" s="644">
        <f t="shared" si="5"/>
        <v>1585.3000000000002</v>
      </c>
    </row>
    <row r="50" spans="2:9" x14ac:dyDescent="0.25">
      <c r="B50" s="724">
        <f t="shared" si="4"/>
        <v>88</v>
      </c>
      <c r="C50" s="624"/>
      <c r="D50" s="565"/>
      <c r="E50" s="643"/>
      <c r="F50" s="565">
        <f t="shared" si="0"/>
        <v>0</v>
      </c>
      <c r="G50" s="563"/>
      <c r="H50" s="564"/>
      <c r="I50" s="644">
        <f t="shared" si="5"/>
        <v>1585.3000000000002</v>
      </c>
    </row>
    <row r="51" spans="2:9" x14ac:dyDescent="0.25">
      <c r="B51" s="724">
        <f t="shared" si="4"/>
        <v>88</v>
      </c>
      <c r="C51" s="15"/>
      <c r="D51" s="68"/>
      <c r="E51" s="232"/>
      <c r="F51" s="68">
        <f t="shared" si="0"/>
        <v>0</v>
      </c>
      <c r="G51" s="69"/>
      <c r="H51" s="70"/>
      <c r="I51" s="644">
        <f t="shared" si="5"/>
        <v>1585.3000000000002</v>
      </c>
    </row>
    <row r="52" spans="2:9" x14ac:dyDescent="0.25">
      <c r="B52" s="724">
        <f t="shared" si="4"/>
        <v>88</v>
      </c>
      <c r="C52" s="15"/>
      <c r="D52" s="68"/>
      <c r="E52" s="232"/>
      <c r="F52" s="68">
        <f t="shared" si="0"/>
        <v>0</v>
      </c>
      <c r="G52" s="69"/>
      <c r="H52" s="70"/>
      <c r="I52" s="644">
        <f t="shared" si="5"/>
        <v>1585.3000000000002</v>
      </c>
    </row>
    <row r="53" spans="2:9" x14ac:dyDescent="0.25">
      <c r="B53" s="724">
        <f t="shared" si="4"/>
        <v>88</v>
      </c>
      <c r="C53" s="15"/>
      <c r="D53" s="68"/>
      <c r="E53" s="232"/>
      <c r="F53" s="68">
        <f t="shared" si="0"/>
        <v>0</v>
      </c>
      <c r="G53" s="69"/>
      <c r="H53" s="70"/>
      <c r="I53" s="644">
        <f t="shared" si="5"/>
        <v>1585.3000000000002</v>
      </c>
    </row>
    <row r="54" spans="2:9" x14ac:dyDescent="0.25">
      <c r="B54" s="724">
        <f t="shared" si="4"/>
        <v>88</v>
      </c>
      <c r="C54" s="15"/>
      <c r="D54" s="68"/>
      <c r="E54" s="232"/>
      <c r="F54" s="68">
        <f t="shared" si="0"/>
        <v>0</v>
      </c>
      <c r="G54" s="69"/>
      <c r="H54" s="70"/>
      <c r="I54" s="644">
        <f t="shared" si="5"/>
        <v>1585.3000000000002</v>
      </c>
    </row>
    <row r="55" spans="2:9" x14ac:dyDescent="0.25">
      <c r="B55" s="724">
        <f t="shared" si="4"/>
        <v>88</v>
      </c>
      <c r="C55" s="15"/>
      <c r="D55" s="68"/>
      <c r="E55" s="232"/>
      <c r="F55" s="68">
        <f t="shared" si="0"/>
        <v>0</v>
      </c>
      <c r="G55" s="69"/>
      <c r="H55" s="70"/>
      <c r="I55" s="644">
        <f t="shared" si="5"/>
        <v>1585.3000000000002</v>
      </c>
    </row>
    <row r="56" spans="2:9" x14ac:dyDescent="0.25">
      <c r="B56" s="724">
        <f t="shared" si="4"/>
        <v>88</v>
      </c>
      <c r="C56" s="15"/>
      <c r="D56" s="68"/>
      <c r="E56" s="232"/>
      <c r="F56" s="68">
        <f t="shared" si="0"/>
        <v>0</v>
      </c>
      <c r="G56" s="69"/>
      <c r="H56" s="70"/>
      <c r="I56" s="644">
        <f t="shared" si="5"/>
        <v>1585.3000000000002</v>
      </c>
    </row>
    <row r="57" spans="2:9" x14ac:dyDescent="0.25">
      <c r="B57" s="724">
        <f t="shared" si="4"/>
        <v>88</v>
      </c>
      <c r="C57" s="15"/>
      <c r="D57" s="68"/>
      <c r="E57" s="232"/>
      <c r="F57" s="68">
        <f t="shared" si="0"/>
        <v>0</v>
      </c>
      <c r="G57" s="69"/>
      <c r="H57" s="70"/>
      <c r="I57" s="644">
        <f t="shared" si="5"/>
        <v>1585.3000000000002</v>
      </c>
    </row>
    <row r="58" spans="2:9" x14ac:dyDescent="0.25">
      <c r="B58" s="724">
        <f t="shared" si="4"/>
        <v>88</v>
      </c>
      <c r="C58" s="15"/>
      <c r="D58" s="68"/>
      <c r="E58" s="232"/>
      <c r="F58" s="68">
        <f t="shared" si="0"/>
        <v>0</v>
      </c>
      <c r="G58" s="69"/>
      <c r="H58" s="70"/>
      <c r="I58" s="644">
        <f t="shared" si="5"/>
        <v>1585.3000000000002</v>
      </c>
    </row>
    <row r="59" spans="2:9" x14ac:dyDescent="0.25">
      <c r="B59" s="724">
        <f t="shared" si="4"/>
        <v>88</v>
      </c>
      <c r="C59" s="15"/>
      <c r="D59" s="68"/>
      <c r="E59" s="232"/>
      <c r="F59" s="68">
        <f t="shared" si="0"/>
        <v>0</v>
      </c>
      <c r="G59" s="69"/>
      <c r="H59" s="70"/>
      <c r="I59" s="644">
        <f t="shared" si="5"/>
        <v>1585.3000000000002</v>
      </c>
    </row>
    <row r="60" spans="2:9" x14ac:dyDescent="0.25">
      <c r="B60" s="724">
        <f t="shared" si="4"/>
        <v>88</v>
      </c>
      <c r="C60" s="15"/>
      <c r="D60" s="68"/>
      <c r="E60" s="232"/>
      <c r="F60" s="68">
        <f t="shared" si="0"/>
        <v>0</v>
      </c>
      <c r="G60" s="69"/>
      <c r="H60" s="70"/>
      <c r="I60" s="644">
        <f t="shared" si="5"/>
        <v>1585.3000000000002</v>
      </c>
    </row>
    <row r="61" spans="2:9" x14ac:dyDescent="0.25">
      <c r="B61" s="724">
        <f t="shared" si="4"/>
        <v>88</v>
      </c>
      <c r="C61" s="15"/>
      <c r="D61" s="68"/>
      <c r="E61" s="232"/>
      <c r="F61" s="68">
        <f t="shared" si="0"/>
        <v>0</v>
      </c>
      <c r="G61" s="69"/>
      <c r="H61" s="70"/>
      <c r="I61" s="644">
        <f t="shared" si="5"/>
        <v>1585.3000000000002</v>
      </c>
    </row>
    <row r="62" spans="2:9" x14ac:dyDescent="0.25">
      <c r="B62" s="724">
        <f t="shared" si="4"/>
        <v>88</v>
      </c>
      <c r="C62" s="15"/>
      <c r="D62" s="68"/>
      <c r="E62" s="232"/>
      <c r="F62" s="68">
        <f t="shared" si="0"/>
        <v>0</v>
      </c>
      <c r="G62" s="69"/>
      <c r="H62" s="70"/>
      <c r="I62" s="644">
        <f t="shared" si="5"/>
        <v>1585.3000000000002</v>
      </c>
    </row>
    <row r="63" spans="2:9" x14ac:dyDescent="0.25">
      <c r="B63" s="724">
        <f t="shared" si="4"/>
        <v>88</v>
      </c>
      <c r="C63" s="15"/>
      <c r="D63" s="68"/>
      <c r="E63" s="232"/>
      <c r="F63" s="68">
        <f t="shared" si="0"/>
        <v>0</v>
      </c>
      <c r="G63" s="69"/>
      <c r="H63" s="70"/>
      <c r="I63" s="644">
        <f t="shared" si="5"/>
        <v>1585.3000000000002</v>
      </c>
    </row>
    <row r="64" spans="2:9" x14ac:dyDescent="0.25">
      <c r="B64" s="724">
        <f t="shared" si="4"/>
        <v>88</v>
      </c>
      <c r="C64" s="15"/>
      <c r="D64" s="68"/>
      <c r="E64" s="232"/>
      <c r="F64" s="68">
        <f t="shared" si="0"/>
        <v>0</v>
      </c>
      <c r="G64" s="69"/>
      <c r="H64" s="70"/>
      <c r="I64" s="644">
        <f t="shared" si="5"/>
        <v>1585.3000000000002</v>
      </c>
    </row>
    <row r="65" spans="2:9" x14ac:dyDescent="0.25">
      <c r="B65" s="724">
        <f t="shared" si="4"/>
        <v>88</v>
      </c>
      <c r="C65" s="15"/>
      <c r="D65" s="68"/>
      <c r="E65" s="232"/>
      <c r="F65" s="68">
        <f t="shared" si="0"/>
        <v>0</v>
      </c>
      <c r="G65" s="69"/>
      <c r="H65" s="70"/>
      <c r="I65" s="644">
        <f t="shared" si="5"/>
        <v>1585.3000000000002</v>
      </c>
    </row>
    <row r="66" spans="2:9" x14ac:dyDescent="0.25">
      <c r="B66" s="724">
        <f t="shared" si="4"/>
        <v>88</v>
      </c>
      <c r="C66" s="15"/>
      <c r="D66" s="68"/>
      <c r="E66" s="232"/>
      <c r="F66" s="68">
        <f t="shared" si="0"/>
        <v>0</v>
      </c>
      <c r="G66" s="69"/>
      <c r="H66" s="70"/>
      <c r="I66" s="644">
        <f t="shared" si="5"/>
        <v>1585.3000000000002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44">
        <f t="shared" si="5"/>
        <v>1585.3000000000002</v>
      </c>
    </row>
    <row r="68" spans="2:9" x14ac:dyDescent="0.25">
      <c r="C68" s="53">
        <f>SUM(C9:C67)</f>
        <v>43</v>
      </c>
      <c r="D68" s="120">
        <f>SUM(D9:D67)</f>
        <v>767.64</v>
      </c>
      <c r="E68" s="160"/>
      <c r="F68" s="120">
        <f>SUM(F9:F67)</f>
        <v>767.64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88</v>
      </c>
    </row>
    <row r="72" spans="2:9" ht="15.75" thickBot="1" x14ac:dyDescent="0.3">
      <c r="B72" s="121"/>
    </row>
    <row r="73" spans="2:9" ht="15.75" thickBot="1" x14ac:dyDescent="0.3">
      <c r="B73" s="90"/>
      <c r="C73" s="1665" t="s">
        <v>11</v>
      </c>
      <c r="D73" s="1666"/>
      <c r="E73" s="56">
        <f>E5-F68+E4+E6+E7</f>
        <v>1585.3000000000002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671"/>
      <c r="B5" s="1709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671"/>
      <c r="B6" s="1709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665" t="s">
        <v>11</v>
      </c>
      <c r="D60" s="1666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71"/>
      <c r="B4" s="1710" t="s">
        <v>79</v>
      </c>
      <c r="C4" s="124"/>
      <c r="D4" s="130"/>
      <c r="E4" s="120"/>
      <c r="F4" s="72"/>
      <c r="G4" s="433"/>
      <c r="H4" s="822"/>
    </row>
    <row r="5" spans="1:10" ht="15" customHeight="1" x14ac:dyDescent="0.25">
      <c r="A5" s="1671"/>
      <c r="B5" s="1711"/>
      <c r="C5" s="124"/>
      <c r="D5" s="218"/>
      <c r="E5" s="77"/>
      <c r="F5" s="61"/>
      <c r="G5" s="324">
        <f>F56</f>
        <v>0</v>
      </c>
      <c r="H5" s="150">
        <f>E4+E5+E6+E7+E8-G5</f>
        <v>0</v>
      </c>
    </row>
    <row r="6" spans="1:10" ht="15" customHeight="1" x14ac:dyDescent="0.25">
      <c r="A6" s="1667"/>
      <c r="B6" s="1711"/>
      <c r="C6" s="124"/>
      <c r="D6" s="218"/>
      <c r="E6" s="77"/>
      <c r="F6" s="61"/>
    </row>
    <row r="7" spans="1:10" ht="15.75" x14ac:dyDescent="0.25">
      <c r="A7" s="1667"/>
      <c r="B7" s="783"/>
      <c r="C7" s="124"/>
      <c r="D7" s="218"/>
      <c r="E7" s="77"/>
      <c r="F7" s="61"/>
    </row>
    <row r="8" spans="1:10" ht="16.5" thickBot="1" x14ac:dyDescent="0.3">
      <c r="A8" s="1667"/>
      <c r="B8" s="783"/>
      <c r="C8" s="124"/>
      <c r="D8" s="218"/>
      <c r="E8" s="77"/>
      <c r="F8" s="61"/>
    </row>
    <row r="9" spans="1:10" ht="16.5" thickTop="1" thickBot="1" x14ac:dyDescent="0.3">
      <c r="B9" s="784" t="s">
        <v>7</v>
      </c>
      <c r="C9" s="785" t="s">
        <v>8</v>
      </c>
      <c r="D9" s="786" t="s">
        <v>3</v>
      </c>
      <c r="E9" s="787" t="s">
        <v>2</v>
      </c>
      <c r="F9" s="788" t="s">
        <v>9</v>
      </c>
      <c r="G9" s="789" t="s">
        <v>15</v>
      </c>
      <c r="H9" s="790"/>
      <c r="I9" s="594"/>
      <c r="J9" s="594"/>
    </row>
    <row r="10" spans="1:10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  <c r="J10" s="594"/>
    </row>
    <row r="11" spans="1:10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  <c r="J11" s="594"/>
    </row>
    <row r="12" spans="1:10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  <c r="J12" s="594"/>
    </row>
    <row r="13" spans="1:10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  <c r="J13" s="594"/>
    </row>
    <row r="14" spans="1:10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  <c r="J14" s="594"/>
    </row>
    <row r="15" spans="1:10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  <c r="J15" s="594"/>
    </row>
    <row r="16" spans="1:10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  <c r="J16" s="594"/>
    </row>
    <row r="17" spans="2:10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  <c r="J17" s="594"/>
    </row>
    <row r="18" spans="2:10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  <c r="J18" s="594"/>
    </row>
    <row r="19" spans="2:10" x14ac:dyDescent="0.25">
      <c r="B19" s="174">
        <f t="shared" si="1"/>
        <v>0</v>
      </c>
      <c r="C19" s="53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10" x14ac:dyDescent="0.25">
      <c r="B20" s="174">
        <f t="shared" si="1"/>
        <v>0</v>
      </c>
      <c r="C20" s="15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10" x14ac:dyDescent="0.25">
      <c r="B21" s="174">
        <f t="shared" si="1"/>
        <v>0</v>
      </c>
      <c r="C21" s="15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65" t="s">
        <v>11</v>
      </c>
      <c r="D61" s="166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668"/>
      <c r="B1" s="1668"/>
      <c r="C1" s="1668"/>
      <c r="D1" s="1668"/>
      <c r="E1" s="1668"/>
      <c r="F1" s="1668"/>
      <c r="G1" s="166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712"/>
      <c r="B5" s="1714" t="s">
        <v>69</v>
      </c>
      <c r="C5" s="325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713"/>
      <c r="B6" s="1715"/>
      <c r="C6" s="327"/>
      <c r="D6" s="326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716" t="s">
        <v>11</v>
      </c>
      <c r="D56" s="1717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0" activePane="bottomLeft" state="frozen"/>
      <selection pane="bottomLeft" activeCell="E5" sqref="E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94" t="s">
        <v>319</v>
      </c>
      <c r="B1" s="1694"/>
      <c r="C1" s="1694"/>
      <c r="D1" s="1694"/>
      <c r="E1" s="1694"/>
      <c r="F1" s="1694"/>
      <c r="G1" s="1694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718" t="s">
        <v>102</v>
      </c>
      <c r="C4" s="17"/>
      <c r="E4" s="239">
        <v>0.43</v>
      </c>
      <c r="F4" s="226"/>
    </row>
    <row r="5" spans="1:10" ht="15" customHeight="1" x14ac:dyDescent="0.25">
      <c r="A5" s="1721" t="s">
        <v>101</v>
      </c>
      <c r="B5" s="1719"/>
      <c r="C5" s="352">
        <v>140</v>
      </c>
      <c r="D5" s="114">
        <v>44989</v>
      </c>
      <c r="E5" s="225">
        <v>4878.49</v>
      </c>
      <c r="F5" s="226">
        <v>215</v>
      </c>
      <c r="G5" s="143">
        <f>F95</f>
        <v>3995.9100000000008</v>
      </c>
      <c r="H5" s="57">
        <f>E4+E5+E6-G5</f>
        <v>883.00999999999931</v>
      </c>
    </row>
    <row r="6" spans="1:10" ht="16.5" thickBot="1" x14ac:dyDescent="0.3">
      <c r="A6" s="1722"/>
      <c r="B6" s="1720"/>
      <c r="C6" s="353"/>
      <c r="D6" s="326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13">
        <f>F5-C8</f>
        <v>212</v>
      </c>
      <c r="C8" s="15">
        <v>3</v>
      </c>
      <c r="D8" s="168">
        <v>65.739999999999995</v>
      </c>
      <c r="E8" s="374">
        <v>44989</v>
      </c>
      <c r="F8" s="68">
        <f t="shared" ref="F8:F94" si="0">D8</f>
        <v>65.739999999999995</v>
      </c>
      <c r="G8" s="69" t="s">
        <v>105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33">
        <f>B8-C9</f>
        <v>207</v>
      </c>
      <c r="C9" s="15">
        <v>5</v>
      </c>
      <c r="D9" s="168">
        <v>113.81</v>
      </c>
      <c r="E9" s="374">
        <v>44989</v>
      </c>
      <c r="F9" s="68">
        <f t="shared" si="0"/>
        <v>113.81</v>
      </c>
      <c r="G9" s="69" t="s">
        <v>106</v>
      </c>
      <c r="H9" s="70">
        <v>144</v>
      </c>
      <c r="I9" s="834">
        <f>I8-F9</f>
        <v>4699.37</v>
      </c>
      <c r="J9" s="835">
        <f>J8-C9</f>
        <v>207</v>
      </c>
    </row>
    <row r="10" spans="1:10" ht="15.75" x14ac:dyDescent="0.25">
      <c r="A10" s="174"/>
      <c r="B10" s="813">
        <f t="shared" ref="B10:B73" si="1">B9-C10</f>
        <v>205</v>
      </c>
      <c r="C10" s="15">
        <v>2</v>
      </c>
      <c r="D10" s="925">
        <v>46.67</v>
      </c>
      <c r="E10" s="506">
        <v>44994</v>
      </c>
      <c r="F10" s="482">
        <f t="shared" si="0"/>
        <v>46.67</v>
      </c>
      <c r="G10" s="314" t="s">
        <v>118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13">
        <f t="shared" si="1"/>
        <v>204</v>
      </c>
      <c r="C11" s="15">
        <v>1</v>
      </c>
      <c r="D11" s="925">
        <v>23.15</v>
      </c>
      <c r="E11" s="506">
        <v>44994</v>
      </c>
      <c r="F11" s="482">
        <f t="shared" si="0"/>
        <v>23.15</v>
      </c>
      <c r="G11" s="314" t="s">
        <v>118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13">
        <f t="shared" si="1"/>
        <v>203</v>
      </c>
      <c r="C12" s="15">
        <v>1</v>
      </c>
      <c r="D12" s="925">
        <v>24.46</v>
      </c>
      <c r="E12" s="506">
        <v>44995</v>
      </c>
      <c r="F12" s="482">
        <f t="shared" si="0"/>
        <v>24.46</v>
      </c>
      <c r="G12" s="314" t="s">
        <v>119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13">
        <f t="shared" si="1"/>
        <v>198</v>
      </c>
      <c r="C13" s="15">
        <v>5</v>
      </c>
      <c r="D13" s="925">
        <v>111.95</v>
      </c>
      <c r="E13" s="506">
        <v>44996</v>
      </c>
      <c r="F13" s="482">
        <f t="shared" si="0"/>
        <v>111.95</v>
      </c>
      <c r="G13" s="314" t="s">
        <v>120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13">
        <f t="shared" si="1"/>
        <v>196</v>
      </c>
      <c r="C14" s="15">
        <v>2</v>
      </c>
      <c r="D14" s="925">
        <v>45.43</v>
      </c>
      <c r="E14" s="506">
        <v>45000</v>
      </c>
      <c r="F14" s="482">
        <f t="shared" si="0"/>
        <v>45.43</v>
      </c>
      <c r="G14" s="314" t="s">
        <v>121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13">
        <f t="shared" si="1"/>
        <v>193</v>
      </c>
      <c r="C15" s="15">
        <v>3</v>
      </c>
      <c r="D15" s="925">
        <v>66.03</v>
      </c>
      <c r="E15" s="926">
        <v>45007</v>
      </c>
      <c r="F15" s="482">
        <f t="shared" si="0"/>
        <v>66.03</v>
      </c>
      <c r="G15" s="314" t="s">
        <v>122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13">
        <f t="shared" si="1"/>
        <v>192</v>
      </c>
      <c r="C16" s="15">
        <v>1</v>
      </c>
      <c r="D16" s="925">
        <v>19.91</v>
      </c>
      <c r="E16" s="926">
        <v>45008</v>
      </c>
      <c r="F16" s="482">
        <f t="shared" si="0"/>
        <v>19.91</v>
      </c>
      <c r="G16" s="314" t="s">
        <v>123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13">
        <f t="shared" si="1"/>
        <v>188</v>
      </c>
      <c r="C17" s="15">
        <v>4</v>
      </c>
      <c r="D17" s="925">
        <v>90.21</v>
      </c>
      <c r="E17" s="926">
        <v>45010</v>
      </c>
      <c r="F17" s="482">
        <f t="shared" si="0"/>
        <v>90.21</v>
      </c>
      <c r="G17" s="314" t="s">
        <v>124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13">
        <f t="shared" si="1"/>
        <v>186</v>
      </c>
      <c r="C18" s="15">
        <v>2</v>
      </c>
      <c r="D18" s="925">
        <v>45.84</v>
      </c>
      <c r="E18" s="926">
        <v>45012</v>
      </c>
      <c r="F18" s="482">
        <f t="shared" si="0"/>
        <v>45.84</v>
      </c>
      <c r="G18" s="314" t="s">
        <v>125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13">
        <f t="shared" si="1"/>
        <v>184</v>
      </c>
      <c r="C19" s="15">
        <v>2</v>
      </c>
      <c r="D19" s="925">
        <v>41.65</v>
      </c>
      <c r="E19" s="926">
        <v>45016</v>
      </c>
      <c r="F19" s="482">
        <f t="shared" si="0"/>
        <v>41.65</v>
      </c>
      <c r="G19" s="314" t="s">
        <v>126</v>
      </c>
      <c r="H19" s="315">
        <v>145</v>
      </c>
      <c r="I19" s="834">
        <f t="shared" si="2"/>
        <v>4184.0700000000006</v>
      </c>
      <c r="J19" s="835">
        <f t="shared" si="3"/>
        <v>184</v>
      </c>
    </row>
    <row r="20" spans="1:10" ht="15.75" x14ac:dyDescent="0.25">
      <c r="A20" s="2"/>
      <c r="B20" s="813">
        <f t="shared" si="1"/>
        <v>181</v>
      </c>
      <c r="C20" s="15">
        <v>3</v>
      </c>
      <c r="D20" s="933">
        <v>63.6</v>
      </c>
      <c r="E20" s="934">
        <v>45023</v>
      </c>
      <c r="F20" s="935">
        <f t="shared" si="0"/>
        <v>63.6</v>
      </c>
      <c r="G20" s="494" t="s">
        <v>130</v>
      </c>
      <c r="H20" s="495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13">
        <f t="shared" si="1"/>
        <v>179</v>
      </c>
      <c r="C21" s="15">
        <v>2</v>
      </c>
      <c r="D21" s="933">
        <v>47.36</v>
      </c>
      <c r="E21" s="934">
        <v>45033</v>
      </c>
      <c r="F21" s="935">
        <f t="shared" si="0"/>
        <v>47.36</v>
      </c>
      <c r="G21" s="494" t="s">
        <v>131</v>
      </c>
      <c r="H21" s="495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13">
        <f t="shared" si="1"/>
        <v>178</v>
      </c>
      <c r="C22" s="15">
        <v>1</v>
      </c>
      <c r="D22" s="933">
        <v>21.91</v>
      </c>
      <c r="E22" s="934">
        <v>45034</v>
      </c>
      <c r="F22" s="935">
        <f t="shared" si="0"/>
        <v>21.91</v>
      </c>
      <c r="G22" s="494" t="s">
        <v>134</v>
      </c>
      <c r="H22" s="495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13">
        <f t="shared" si="1"/>
        <v>177</v>
      </c>
      <c r="C23" s="15">
        <v>1</v>
      </c>
      <c r="D23" s="933">
        <v>21.32</v>
      </c>
      <c r="E23" s="934">
        <v>45035</v>
      </c>
      <c r="F23" s="935">
        <f t="shared" si="0"/>
        <v>21.32</v>
      </c>
      <c r="G23" s="494" t="s">
        <v>132</v>
      </c>
      <c r="H23" s="495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13">
        <f t="shared" si="1"/>
        <v>175</v>
      </c>
      <c r="C24" s="15">
        <v>2</v>
      </c>
      <c r="D24" s="933">
        <v>45.5</v>
      </c>
      <c r="E24" s="936">
        <v>45040</v>
      </c>
      <c r="F24" s="935">
        <f t="shared" si="0"/>
        <v>45.5</v>
      </c>
      <c r="G24" s="494" t="s">
        <v>133</v>
      </c>
      <c r="H24" s="495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13">
        <f t="shared" si="1"/>
        <v>171</v>
      </c>
      <c r="C25" s="15">
        <v>4</v>
      </c>
      <c r="D25" s="933">
        <v>86.59</v>
      </c>
      <c r="E25" s="936">
        <v>45044</v>
      </c>
      <c r="F25" s="935">
        <f t="shared" si="0"/>
        <v>86.59</v>
      </c>
      <c r="G25" s="494" t="s">
        <v>136</v>
      </c>
      <c r="H25" s="495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13">
        <f t="shared" si="1"/>
        <v>168</v>
      </c>
      <c r="C26" s="15">
        <v>3</v>
      </c>
      <c r="D26" s="933">
        <v>67.959999999999994</v>
      </c>
      <c r="E26" s="936">
        <v>45050</v>
      </c>
      <c r="F26" s="935">
        <f t="shared" si="0"/>
        <v>67.959999999999994</v>
      </c>
      <c r="G26" s="494" t="s">
        <v>146</v>
      </c>
      <c r="H26" s="495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13">
        <f t="shared" si="1"/>
        <v>167</v>
      </c>
      <c r="C27" s="15">
        <v>1</v>
      </c>
      <c r="D27" s="933">
        <v>23.41</v>
      </c>
      <c r="E27" s="936">
        <v>45052</v>
      </c>
      <c r="F27" s="935">
        <f t="shared" si="0"/>
        <v>23.41</v>
      </c>
      <c r="G27" s="494" t="s">
        <v>148</v>
      </c>
      <c r="H27" s="495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13">
        <f t="shared" si="1"/>
        <v>165</v>
      </c>
      <c r="C28" s="15">
        <v>2</v>
      </c>
      <c r="D28" s="933">
        <v>45.65</v>
      </c>
      <c r="E28" s="934">
        <v>45052</v>
      </c>
      <c r="F28" s="935">
        <f t="shared" si="0"/>
        <v>45.65</v>
      </c>
      <c r="G28" s="494" t="s">
        <v>149</v>
      </c>
      <c r="H28" s="495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13">
        <f t="shared" si="1"/>
        <v>163</v>
      </c>
      <c r="C29" s="991">
        <v>2</v>
      </c>
      <c r="D29" s="995">
        <v>43.49</v>
      </c>
      <c r="E29" s="996">
        <v>45056</v>
      </c>
      <c r="F29" s="993">
        <f t="shared" si="0"/>
        <v>43.49</v>
      </c>
      <c r="G29" s="994" t="s">
        <v>153</v>
      </c>
      <c r="H29" s="977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33">
        <f t="shared" si="1"/>
        <v>162</v>
      </c>
      <c r="C30" s="991">
        <v>1</v>
      </c>
      <c r="D30" s="995">
        <v>21.88</v>
      </c>
      <c r="E30" s="996">
        <v>45056</v>
      </c>
      <c r="F30" s="993">
        <f t="shared" si="0"/>
        <v>21.88</v>
      </c>
      <c r="G30" s="994" t="s">
        <v>154</v>
      </c>
      <c r="H30" s="977">
        <v>145</v>
      </c>
      <c r="I30" s="834">
        <f t="shared" si="4"/>
        <v>3695.4</v>
      </c>
      <c r="J30" s="835">
        <f t="shared" si="3"/>
        <v>162</v>
      </c>
    </row>
    <row r="31" spans="1:10" ht="15.75" x14ac:dyDescent="0.25">
      <c r="A31" s="169"/>
      <c r="B31" s="813">
        <f t="shared" si="1"/>
        <v>160</v>
      </c>
      <c r="C31" s="15">
        <v>2</v>
      </c>
      <c r="D31" s="1048">
        <v>41.42</v>
      </c>
      <c r="E31" s="525">
        <v>45057</v>
      </c>
      <c r="F31" s="801">
        <f t="shared" si="0"/>
        <v>41.42</v>
      </c>
      <c r="G31" s="524" t="s">
        <v>158</v>
      </c>
      <c r="H31" s="358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13">
        <f t="shared" si="1"/>
        <v>158</v>
      </c>
      <c r="C32" s="15">
        <v>2</v>
      </c>
      <c r="D32" s="1048">
        <v>46.71</v>
      </c>
      <c r="E32" s="525">
        <v>45063</v>
      </c>
      <c r="F32" s="801">
        <f t="shared" si="0"/>
        <v>46.71</v>
      </c>
      <c r="G32" s="524" t="s">
        <v>165</v>
      </c>
      <c r="H32" s="358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13">
        <f t="shared" si="1"/>
        <v>156</v>
      </c>
      <c r="C33" s="15">
        <v>2</v>
      </c>
      <c r="D33" s="1048">
        <v>45.21</v>
      </c>
      <c r="E33" s="1051">
        <v>45066</v>
      </c>
      <c r="F33" s="801">
        <f t="shared" si="0"/>
        <v>45.21</v>
      </c>
      <c r="G33" s="524" t="s">
        <v>172</v>
      </c>
      <c r="H33" s="358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13">
        <f t="shared" si="1"/>
        <v>155</v>
      </c>
      <c r="C34" s="15">
        <v>1</v>
      </c>
      <c r="D34" s="1048">
        <v>23.76</v>
      </c>
      <c r="E34" s="1051">
        <v>45069</v>
      </c>
      <c r="F34" s="801">
        <f t="shared" si="0"/>
        <v>23.76</v>
      </c>
      <c r="G34" s="524" t="s">
        <v>175</v>
      </c>
      <c r="H34" s="358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13">
        <f t="shared" si="1"/>
        <v>152</v>
      </c>
      <c r="C35" s="15">
        <v>3</v>
      </c>
      <c r="D35" s="1048">
        <v>67.180000000000007</v>
      </c>
      <c r="E35" s="1051">
        <v>45071</v>
      </c>
      <c r="F35" s="801">
        <f t="shared" si="0"/>
        <v>67.180000000000007</v>
      </c>
      <c r="G35" s="524" t="s">
        <v>179</v>
      </c>
      <c r="H35" s="358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13">
        <f t="shared" si="1"/>
        <v>151</v>
      </c>
      <c r="C36" s="15">
        <v>1</v>
      </c>
      <c r="D36" s="1048">
        <v>24.22</v>
      </c>
      <c r="E36" s="1051">
        <v>45075</v>
      </c>
      <c r="F36" s="801">
        <f t="shared" si="0"/>
        <v>24.22</v>
      </c>
      <c r="G36" s="524" t="s">
        <v>183</v>
      </c>
      <c r="H36" s="358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13">
        <f t="shared" si="1"/>
        <v>150</v>
      </c>
      <c r="C37" s="15">
        <v>1</v>
      </c>
      <c r="D37" s="1048">
        <v>24.2</v>
      </c>
      <c r="E37" s="1051">
        <v>45075</v>
      </c>
      <c r="F37" s="801">
        <f t="shared" si="0"/>
        <v>24.2</v>
      </c>
      <c r="G37" s="524" t="s">
        <v>185</v>
      </c>
      <c r="H37" s="358">
        <v>145</v>
      </c>
      <c r="I37" s="834">
        <f t="shared" si="4"/>
        <v>3422.7000000000003</v>
      </c>
      <c r="J37" s="835">
        <f t="shared" si="3"/>
        <v>150</v>
      </c>
    </row>
    <row r="38" spans="1:10" ht="15.75" x14ac:dyDescent="0.25">
      <c r="A38" s="2"/>
      <c r="B38" s="813">
        <f t="shared" si="1"/>
        <v>150</v>
      </c>
      <c r="C38" s="15"/>
      <c r="D38" s="1048">
        <v>0</v>
      </c>
      <c r="E38" s="525"/>
      <c r="F38" s="801">
        <f t="shared" si="0"/>
        <v>0</v>
      </c>
      <c r="G38" s="524"/>
      <c r="H38" s="358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13">
        <f t="shared" si="1"/>
        <v>146</v>
      </c>
      <c r="C39" s="15">
        <v>4</v>
      </c>
      <c r="D39" s="1088">
        <v>94.48</v>
      </c>
      <c r="E39" s="1089">
        <v>45085</v>
      </c>
      <c r="F39" s="58">
        <f t="shared" si="0"/>
        <v>94.48</v>
      </c>
      <c r="G39" s="1087" t="s">
        <v>207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13">
        <f t="shared" si="1"/>
        <v>145</v>
      </c>
      <c r="C40" s="15">
        <v>1</v>
      </c>
      <c r="D40" s="1088">
        <v>23.58</v>
      </c>
      <c r="E40" s="1089">
        <v>45087</v>
      </c>
      <c r="F40" s="58">
        <f t="shared" si="0"/>
        <v>23.58</v>
      </c>
      <c r="G40" s="1087" t="s">
        <v>212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13">
        <f t="shared" si="1"/>
        <v>143</v>
      </c>
      <c r="C41" s="15">
        <v>2</v>
      </c>
      <c r="D41" s="1088">
        <v>60.32</v>
      </c>
      <c r="E41" s="1089">
        <v>45089</v>
      </c>
      <c r="F41" s="58">
        <f t="shared" si="0"/>
        <v>60.32</v>
      </c>
      <c r="G41" s="1087" t="s">
        <v>219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13">
        <f t="shared" si="1"/>
        <v>142</v>
      </c>
      <c r="C42" s="15">
        <v>1</v>
      </c>
      <c r="D42" s="1088">
        <v>22.02</v>
      </c>
      <c r="E42" s="1089">
        <v>45089</v>
      </c>
      <c r="F42" s="58">
        <f t="shared" si="0"/>
        <v>22.02</v>
      </c>
      <c r="G42" s="1087" t="s">
        <v>220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13">
        <f t="shared" si="1"/>
        <v>137</v>
      </c>
      <c r="C43" s="15">
        <v>5</v>
      </c>
      <c r="D43" s="1088">
        <v>117.76</v>
      </c>
      <c r="E43" s="1089">
        <v>45092</v>
      </c>
      <c r="F43" s="58">
        <f t="shared" si="0"/>
        <v>117.76</v>
      </c>
      <c r="G43" s="1087" t="s">
        <v>222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13">
        <f t="shared" si="1"/>
        <v>134</v>
      </c>
      <c r="C44" s="15">
        <v>3</v>
      </c>
      <c r="D44" s="1088">
        <v>68.47</v>
      </c>
      <c r="E44" s="1089">
        <v>45092</v>
      </c>
      <c r="F44" s="58">
        <f t="shared" si="0"/>
        <v>68.47</v>
      </c>
      <c r="G44" s="1087" t="s">
        <v>231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13">
        <f t="shared" si="1"/>
        <v>132</v>
      </c>
      <c r="C45" s="15">
        <v>2</v>
      </c>
      <c r="D45" s="1088">
        <v>45.3</v>
      </c>
      <c r="E45" s="1089">
        <v>45093</v>
      </c>
      <c r="F45" s="58">
        <f t="shared" si="0"/>
        <v>45.3</v>
      </c>
      <c r="G45" s="1087" t="s">
        <v>233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13">
        <f t="shared" si="1"/>
        <v>127</v>
      </c>
      <c r="C46" s="15">
        <v>5</v>
      </c>
      <c r="D46" s="1088">
        <v>113.03</v>
      </c>
      <c r="E46" s="1089">
        <v>45093</v>
      </c>
      <c r="F46" s="58">
        <f t="shared" si="0"/>
        <v>113.03</v>
      </c>
      <c r="G46" s="1087" t="s">
        <v>234</v>
      </c>
      <c r="H46" s="1201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13">
        <f t="shared" si="1"/>
        <v>125</v>
      </c>
      <c r="C47" s="15">
        <v>2</v>
      </c>
      <c r="D47" s="1088">
        <v>43.67</v>
      </c>
      <c r="E47" s="1089">
        <v>45096</v>
      </c>
      <c r="F47" s="58">
        <f t="shared" si="0"/>
        <v>43.67</v>
      </c>
      <c r="G47" s="1087" t="s">
        <v>242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13">
        <f t="shared" si="1"/>
        <v>124</v>
      </c>
      <c r="C48" s="15">
        <v>1</v>
      </c>
      <c r="D48" s="1088">
        <v>22.95</v>
      </c>
      <c r="E48" s="1089">
        <v>45099</v>
      </c>
      <c r="F48" s="58">
        <f t="shared" si="0"/>
        <v>22.95</v>
      </c>
      <c r="G48" s="1087" t="s">
        <v>249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13">
        <f t="shared" si="1"/>
        <v>117</v>
      </c>
      <c r="C49" s="15">
        <v>7</v>
      </c>
      <c r="D49" s="1088">
        <v>161.12</v>
      </c>
      <c r="E49" s="1089">
        <v>45103</v>
      </c>
      <c r="F49" s="58">
        <f t="shared" si="0"/>
        <v>161.12</v>
      </c>
      <c r="G49" s="1087" t="s">
        <v>268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13">
        <f t="shared" si="1"/>
        <v>116</v>
      </c>
      <c r="C50" s="15">
        <v>1</v>
      </c>
      <c r="D50" s="1088">
        <v>20.309999999999999</v>
      </c>
      <c r="E50" s="1089">
        <v>45103</v>
      </c>
      <c r="F50" s="58">
        <f t="shared" si="0"/>
        <v>20.309999999999999</v>
      </c>
      <c r="G50" s="1087" t="s">
        <v>269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13">
        <f t="shared" si="1"/>
        <v>115</v>
      </c>
      <c r="C51" s="15">
        <v>1</v>
      </c>
      <c r="D51" s="1088">
        <v>20.88</v>
      </c>
      <c r="E51" s="1089">
        <v>45104</v>
      </c>
      <c r="F51" s="58">
        <f t="shared" si="0"/>
        <v>20.88</v>
      </c>
      <c r="G51" s="1087" t="s">
        <v>272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13">
        <f t="shared" si="1"/>
        <v>109</v>
      </c>
      <c r="C52" s="15">
        <v>6</v>
      </c>
      <c r="D52" s="1088">
        <v>135.13</v>
      </c>
      <c r="E52" s="1089">
        <v>45107</v>
      </c>
      <c r="F52" s="58">
        <f t="shared" si="0"/>
        <v>135.13</v>
      </c>
      <c r="G52" s="1087" t="s">
        <v>294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13">
        <f t="shared" si="1"/>
        <v>107</v>
      </c>
      <c r="C53" s="15">
        <v>2</v>
      </c>
      <c r="D53" s="1088">
        <v>43.02</v>
      </c>
      <c r="E53" s="1089">
        <v>45108</v>
      </c>
      <c r="F53" s="58">
        <f t="shared" si="0"/>
        <v>43.02</v>
      </c>
      <c r="G53" s="1087" t="s">
        <v>298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33">
        <f t="shared" si="1"/>
        <v>101</v>
      </c>
      <c r="C54" s="15">
        <v>6</v>
      </c>
      <c r="D54" s="1088">
        <v>127.93</v>
      </c>
      <c r="E54" s="1089">
        <v>45108</v>
      </c>
      <c r="F54" s="58">
        <f t="shared" si="0"/>
        <v>127.93</v>
      </c>
      <c r="G54" s="1087" t="s">
        <v>302</v>
      </c>
      <c r="H54" s="59">
        <v>145</v>
      </c>
      <c r="I54" s="834">
        <f t="shared" si="5"/>
        <v>2302.73</v>
      </c>
      <c r="J54" s="835">
        <f t="shared" si="6"/>
        <v>101</v>
      </c>
    </row>
    <row r="55" spans="1:10" ht="15.75" x14ac:dyDescent="0.25">
      <c r="A55" s="2"/>
      <c r="B55" s="813">
        <f t="shared" si="1"/>
        <v>101</v>
      </c>
      <c r="C55" s="15"/>
      <c r="D55" s="1088">
        <v>0</v>
      </c>
      <c r="E55" s="1089"/>
      <c r="F55" s="58">
        <f t="shared" si="0"/>
        <v>0</v>
      </c>
      <c r="G55" s="1087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13">
        <f t="shared" si="1"/>
        <v>96</v>
      </c>
      <c r="C56" s="15">
        <v>5</v>
      </c>
      <c r="D56" s="1289">
        <v>111.78</v>
      </c>
      <c r="E56" s="1290">
        <v>45113</v>
      </c>
      <c r="F56" s="1277">
        <f t="shared" si="0"/>
        <v>111.78</v>
      </c>
      <c r="G56" s="1276" t="s">
        <v>521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13">
        <f t="shared" si="1"/>
        <v>95</v>
      </c>
      <c r="C57" s="15">
        <v>1</v>
      </c>
      <c r="D57" s="1289">
        <v>23.06</v>
      </c>
      <c r="E57" s="1290">
        <v>45115</v>
      </c>
      <c r="F57" s="1277">
        <f t="shared" si="0"/>
        <v>23.06</v>
      </c>
      <c r="G57" s="1276" t="s">
        <v>533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13">
        <f t="shared" si="1"/>
        <v>90</v>
      </c>
      <c r="C58" s="15">
        <v>5</v>
      </c>
      <c r="D58" s="1289">
        <v>106.41</v>
      </c>
      <c r="E58" s="1290">
        <v>45115</v>
      </c>
      <c r="F58" s="1277">
        <f t="shared" si="0"/>
        <v>106.41</v>
      </c>
      <c r="G58" s="1276" t="s">
        <v>544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13">
        <f t="shared" si="1"/>
        <v>89</v>
      </c>
      <c r="C59" s="15">
        <v>1</v>
      </c>
      <c r="D59" s="1289">
        <v>23.87</v>
      </c>
      <c r="E59" s="1290">
        <v>45117</v>
      </c>
      <c r="F59" s="1277">
        <f t="shared" si="0"/>
        <v>23.87</v>
      </c>
      <c r="G59" s="1276" t="s">
        <v>553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13">
        <f t="shared" si="1"/>
        <v>88</v>
      </c>
      <c r="C60" s="15">
        <v>1</v>
      </c>
      <c r="D60" s="1289">
        <v>22.03</v>
      </c>
      <c r="E60" s="1290">
        <v>45118</v>
      </c>
      <c r="F60" s="1277">
        <f t="shared" si="0"/>
        <v>22.03</v>
      </c>
      <c r="G60" s="1276" t="s">
        <v>562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13">
        <f t="shared" si="1"/>
        <v>87</v>
      </c>
      <c r="C61" s="15">
        <v>1</v>
      </c>
      <c r="D61" s="1289">
        <v>23.14</v>
      </c>
      <c r="E61" s="1290">
        <v>45119</v>
      </c>
      <c r="F61" s="1277">
        <f t="shared" si="0"/>
        <v>23.14</v>
      </c>
      <c r="G61" s="1276" t="s">
        <v>573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13">
        <f t="shared" si="1"/>
        <v>81</v>
      </c>
      <c r="C62" s="15">
        <v>6</v>
      </c>
      <c r="D62" s="1289">
        <v>131.38999999999999</v>
      </c>
      <c r="E62" s="1290">
        <v>45120</v>
      </c>
      <c r="F62" s="1277">
        <f t="shared" si="0"/>
        <v>131.38999999999999</v>
      </c>
      <c r="G62" s="1276" t="s">
        <v>585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13">
        <f t="shared" si="1"/>
        <v>79</v>
      </c>
      <c r="C63" s="15">
        <v>2</v>
      </c>
      <c r="D63" s="1289">
        <v>48.14</v>
      </c>
      <c r="E63" s="1290">
        <v>45121</v>
      </c>
      <c r="F63" s="1277">
        <f t="shared" si="0"/>
        <v>48.14</v>
      </c>
      <c r="G63" s="1276" t="s">
        <v>600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13">
        <f t="shared" si="1"/>
        <v>78</v>
      </c>
      <c r="C64" s="15">
        <v>1</v>
      </c>
      <c r="D64" s="1289">
        <v>22.64</v>
      </c>
      <c r="E64" s="1290">
        <v>45122</v>
      </c>
      <c r="F64" s="1277">
        <f t="shared" si="0"/>
        <v>22.64</v>
      </c>
      <c r="G64" s="1276" t="s">
        <v>610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13">
        <f t="shared" si="1"/>
        <v>66</v>
      </c>
      <c r="C65" s="15">
        <v>12</v>
      </c>
      <c r="D65" s="1289">
        <v>282.13</v>
      </c>
      <c r="E65" s="1290">
        <v>45122</v>
      </c>
      <c r="F65" s="1277">
        <f t="shared" si="0"/>
        <v>282.13</v>
      </c>
      <c r="G65" s="1276" t="s">
        <v>616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13">
        <f t="shared" si="1"/>
        <v>60</v>
      </c>
      <c r="C66" s="15">
        <v>6</v>
      </c>
      <c r="D66" s="1289">
        <v>141.72999999999999</v>
      </c>
      <c r="E66" s="1290">
        <v>45125</v>
      </c>
      <c r="F66" s="1277">
        <f t="shared" si="0"/>
        <v>141.72999999999999</v>
      </c>
      <c r="G66" s="1276" t="s">
        <v>634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13">
        <f t="shared" si="1"/>
        <v>59</v>
      </c>
      <c r="C67" s="15">
        <v>1</v>
      </c>
      <c r="D67" s="1289">
        <v>23.53</v>
      </c>
      <c r="E67" s="1290">
        <v>45127</v>
      </c>
      <c r="F67" s="1277">
        <f t="shared" si="0"/>
        <v>23.53</v>
      </c>
      <c r="G67" s="1276" t="s">
        <v>656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13">
        <f t="shared" si="1"/>
        <v>56</v>
      </c>
      <c r="C68" s="15">
        <v>3</v>
      </c>
      <c r="D68" s="1289">
        <v>67.98</v>
      </c>
      <c r="E68" s="1290">
        <v>45128</v>
      </c>
      <c r="F68" s="1277">
        <f t="shared" si="0"/>
        <v>67.98</v>
      </c>
      <c r="G68" s="1276" t="s">
        <v>667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13">
        <f t="shared" si="1"/>
        <v>50</v>
      </c>
      <c r="C69" s="15">
        <v>6</v>
      </c>
      <c r="D69" s="1289">
        <v>141.61000000000001</v>
      </c>
      <c r="E69" s="1290">
        <v>45129</v>
      </c>
      <c r="F69" s="1277">
        <f t="shared" si="0"/>
        <v>141.61000000000001</v>
      </c>
      <c r="G69" s="1276" t="s">
        <v>671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13">
        <f t="shared" si="1"/>
        <v>42</v>
      </c>
      <c r="C70" s="15">
        <v>8</v>
      </c>
      <c r="D70" s="1289">
        <v>183.31</v>
      </c>
      <c r="E70" s="1290">
        <v>45135</v>
      </c>
      <c r="F70" s="1277">
        <f t="shared" si="0"/>
        <v>183.31</v>
      </c>
      <c r="G70" s="1276" t="s">
        <v>717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13">
        <f t="shared" si="1"/>
        <v>41</v>
      </c>
      <c r="C71" s="15">
        <v>1</v>
      </c>
      <c r="D71" s="1289">
        <v>21.78</v>
      </c>
      <c r="E71" s="1290">
        <v>45135</v>
      </c>
      <c r="F71" s="1277">
        <f t="shared" si="0"/>
        <v>21.78</v>
      </c>
      <c r="G71" s="1276" t="s">
        <v>714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13">
        <f t="shared" si="1"/>
        <v>39</v>
      </c>
      <c r="C72" s="15">
        <v>2</v>
      </c>
      <c r="D72" s="1289">
        <v>45.19</v>
      </c>
      <c r="E72" s="1290">
        <v>45136</v>
      </c>
      <c r="F72" s="1277">
        <f t="shared" si="0"/>
        <v>45.19</v>
      </c>
      <c r="G72" s="1276" t="s">
        <v>725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13">
        <f t="shared" si="1"/>
        <v>39</v>
      </c>
      <c r="C73" s="15"/>
      <c r="D73" s="1289"/>
      <c r="E73" s="1290"/>
      <c r="F73" s="1277">
        <f t="shared" si="0"/>
        <v>0</v>
      </c>
      <c r="G73" s="1276"/>
      <c r="H73" s="194"/>
      <c r="I73" s="208">
        <f t="shared" si="7"/>
        <v>883.01</v>
      </c>
      <c r="J73" s="209">
        <f t="shared" si="8"/>
        <v>39</v>
      </c>
    </row>
    <row r="74" spans="1:10" ht="15.75" x14ac:dyDescent="0.25">
      <c r="A74" s="2"/>
      <c r="B74" s="813">
        <f t="shared" ref="B74:B93" si="9">B73-C74</f>
        <v>39</v>
      </c>
      <c r="C74" s="15"/>
      <c r="D74" s="1289"/>
      <c r="E74" s="1290"/>
      <c r="F74" s="1277">
        <f t="shared" si="0"/>
        <v>0</v>
      </c>
      <c r="G74" s="1276"/>
      <c r="H74" s="194"/>
      <c r="I74" s="208">
        <f t="shared" si="7"/>
        <v>883.01</v>
      </c>
      <c r="J74" s="209">
        <f t="shared" si="8"/>
        <v>39</v>
      </c>
    </row>
    <row r="75" spans="1:10" ht="15.75" x14ac:dyDescent="0.25">
      <c r="A75" s="2"/>
      <c r="B75" s="813">
        <f t="shared" si="9"/>
        <v>39</v>
      </c>
      <c r="C75" s="15"/>
      <c r="D75" s="1289"/>
      <c r="E75" s="1290"/>
      <c r="F75" s="1277">
        <f t="shared" si="0"/>
        <v>0</v>
      </c>
      <c r="G75" s="1276"/>
      <c r="H75" s="194"/>
      <c r="I75" s="208">
        <f t="shared" si="7"/>
        <v>883.01</v>
      </c>
      <c r="J75" s="209">
        <f t="shared" si="8"/>
        <v>39</v>
      </c>
    </row>
    <row r="76" spans="1:10" ht="15.75" x14ac:dyDescent="0.25">
      <c r="A76" s="2"/>
      <c r="B76" s="813">
        <f t="shared" si="9"/>
        <v>39</v>
      </c>
      <c r="C76" s="15"/>
      <c r="D76" s="1289"/>
      <c r="E76" s="1290"/>
      <c r="F76" s="1277">
        <f t="shared" si="0"/>
        <v>0</v>
      </c>
      <c r="G76" s="1276"/>
      <c r="H76" s="194"/>
      <c r="I76" s="208">
        <f t="shared" si="7"/>
        <v>883.01</v>
      </c>
      <c r="J76" s="209">
        <f t="shared" si="8"/>
        <v>39</v>
      </c>
    </row>
    <row r="77" spans="1:10" ht="15.75" x14ac:dyDescent="0.25">
      <c r="A77" s="2"/>
      <c r="B77" s="813">
        <f t="shared" si="9"/>
        <v>39</v>
      </c>
      <c r="C77" s="15"/>
      <c r="D77" s="1289"/>
      <c r="E77" s="1290"/>
      <c r="F77" s="1277">
        <f t="shared" si="0"/>
        <v>0</v>
      </c>
      <c r="G77" s="1276"/>
      <c r="H77" s="194"/>
      <c r="I77" s="208">
        <f t="shared" si="7"/>
        <v>883.01</v>
      </c>
      <c r="J77" s="209">
        <f t="shared" si="8"/>
        <v>39</v>
      </c>
    </row>
    <row r="78" spans="1:10" ht="15.75" x14ac:dyDescent="0.25">
      <c r="A78" s="2"/>
      <c r="B78" s="813">
        <f t="shared" si="9"/>
        <v>39</v>
      </c>
      <c r="C78" s="15"/>
      <c r="D78" s="1289"/>
      <c r="E78" s="1290"/>
      <c r="F78" s="1277">
        <f t="shared" si="0"/>
        <v>0</v>
      </c>
      <c r="G78" s="1276"/>
      <c r="H78" s="194"/>
      <c r="I78" s="208">
        <f t="shared" si="7"/>
        <v>883.01</v>
      </c>
      <c r="J78" s="209">
        <f t="shared" si="8"/>
        <v>39</v>
      </c>
    </row>
    <row r="79" spans="1:10" ht="15.75" x14ac:dyDescent="0.25">
      <c r="A79" s="2"/>
      <c r="B79" s="813">
        <f t="shared" si="9"/>
        <v>39</v>
      </c>
      <c r="C79" s="15"/>
      <c r="D79" s="1289"/>
      <c r="E79" s="1290"/>
      <c r="F79" s="1277">
        <f t="shared" si="0"/>
        <v>0</v>
      </c>
      <c r="G79" s="1276"/>
      <c r="H79" s="194"/>
      <c r="I79" s="208">
        <f t="shared" si="7"/>
        <v>883.01</v>
      </c>
      <c r="J79" s="209">
        <f t="shared" si="8"/>
        <v>39</v>
      </c>
    </row>
    <row r="80" spans="1:10" ht="15.75" x14ac:dyDescent="0.25">
      <c r="A80" s="2"/>
      <c r="B80" s="813">
        <f t="shared" si="9"/>
        <v>39</v>
      </c>
      <c r="C80" s="15"/>
      <c r="D80" s="1289"/>
      <c r="E80" s="1290"/>
      <c r="F80" s="1277">
        <f t="shared" si="0"/>
        <v>0</v>
      </c>
      <c r="G80" s="1276"/>
      <c r="H80" s="194"/>
      <c r="I80" s="208">
        <f t="shared" si="7"/>
        <v>883.01</v>
      </c>
      <c r="J80" s="209">
        <f t="shared" si="8"/>
        <v>39</v>
      </c>
    </row>
    <row r="81" spans="1:10" ht="15.75" x14ac:dyDescent="0.25">
      <c r="A81" s="2"/>
      <c r="B81" s="813">
        <f t="shared" si="9"/>
        <v>39</v>
      </c>
      <c r="C81" s="15"/>
      <c r="D81" s="1289"/>
      <c r="E81" s="1290"/>
      <c r="F81" s="1277">
        <f t="shared" si="0"/>
        <v>0</v>
      </c>
      <c r="G81" s="1276"/>
      <c r="H81" s="194"/>
      <c r="I81" s="208">
        <f t="shared" si="7"/>
        <v>883.01</v>
      </c>
      <c r="J81" s="209">
        <f t="shared" si="8"/>
        <v>39</v>
      </c>
    </row>
    <row r="82" spans="1:10" ht="15.75" x14ac:dyDescent="0.25">
      <c r="A82" s="2"/>
      <c r="B82" s="813">
        <f t="shared" si="9"/>
        <v>39</v>
      </c>
      <c r="C82" s="15"/>
      <c r="D82" s="1289"/>
      <c r="E82" s="1290"/>
      <c r="F82" s="1277">
        <f t="shared" si="0"/>
        <v>0</v>
      </c>
      <c r="G82" s="1276"/>
      <c r="H82" s="194"/>
      <c r="I82" s="208">
        <f t="shared" si="7"/>
        <v>883.01</v>
      </c>
      <c r="J82" s="209">
        <f t="shared" si="8"/>
        <v>39</v>
      </c>
    </row>
    <row r="83" spans="1:10" ht="15.75" x14ac:dyDescent="0.25">
      <c r="A83" s="2"/>
      <c r="B83" s="813">
        <f t="shared" si="9"/>
        <v>39</v>
      </c>
      <c r="C83" s="15"/>
      <c r="D83" s="1289"/>
      <c r="E83" s="1290"/>
      <c r="F83" s="1277">
        <f t="shared" si="0"/>
        <v>0</v>
      </c>
      <c r="G83" s="1276"/>
      <c r="H83" s="194"/>
      <c r="I83" s="208">
        <f t="shared" si="7"/>
        <v>883.01</v>
      </c>
      <c r="J83" s="209">
        <f t="shared" si="8"/>
        <v>39</v>
      </c>
    </row>
    <row r="84" spans="1:10" ht="15.75" x14ac:dyDescent="0.25">
      <c r="A84" s="2"/>
      <c r="B84" s="813">
        <f t="shared" si="9"/>
        <v>39</v>
      </c>
      <c r="C84" s="15"/>
      <c r="D84" s="1289"/>
      <c r="E84" s="1290"/>
      <c r="F84" s="1277">
        <f t="shared" si="0"/>
        <v>0</v>
      </c>
      <c r="G84" s="1276"/>
      <c r="H84" s="194"/>
      <c r="I84" s="208">
        <f t="shared" si="7"/>
        <v>883.01</v>
      </c>
      <c r="J84" s="209">
        <f t="shared" si="8"/>
        <v>39</v>
      </c>
    </row>
    <row r="85" spans="1:10" ht="15.75" x14ac:dyDescent="0.25">
      <c r="A85" s="2"/>
      <c r="B85" s="813">
        <f t="shared" si="9"/>
        <v>39</v>
      </c>
      <c r="C85" s="15"/>
      <c r="D85" s="1289"/>
      <c r="E85" s="1290"/>
      <c r="F85" s="1277">
        <f t="shared" si="0"/>
        <v>0</v>
      </c>
      <c r="G85" s="1276"/>
      <c r="H85" s="194"/>
      <c r="I85" s="208">
        <f t="shared" si="7"/>
        <v>883.01</v>
      </c>
      <c r="J85" s="209">
        <f t="shared" si="8"/>
        <v>39</v>
      </c>
    </row>
    <row r="86" spans="1:10" ht="15.75" x14ac:dyDescent="0.25">
      <c r="A86" s="2"/>
      <c r="B86" s="813">
        <f t="shared" si="9"/>
        <v>39</v>
      </c>
      <c r="C86" s="15"/>
      <c r="D86" s="1289"/>
      <c r="E86" s="1290"/>
      <c r="F86" s="1277">
        <f t="shared" si="0"/>
        <v>0</v>
      </c>
      <c r="G86" s="1276"/>
      <c r="H86" s="194"/>
      <c r="I86" s="208">
        <f t="shared" si="7"/>
        <v>883.01</v>
      </c>
      <c r="J86" s="209">
        <f t="shared" si="8"/>
        <v>39</v>
      </c>
    </row>
    <row r="87" spans="1:10" ht="15.75" x14ac:dyDescent="0.25">
      <c r="A87" s="2"/>
      <c r="B87" s="813">
        <f t="shared" si="9"/>
        <v>39</v>
      </c>
      <c r="C87" s="15"/>
      <c r="D87" s="1289"/>
      <c r="E87" s="1290"/>
      <c r="F87" s="1277">
        <f t="shared" si="0"/>
        <v>0</v>
      </c>
      <c r="G87" s="1276"/>
      <c r="H87" s="194"/>
      <c r="I87" s="208">
        <f t="shared" si="7"/>
        <v>883.01</v>
      </c>
      <c r="J87" s="209">
        <f t="shared" si="8"/>
        <v>39</v>
      </c>
    </row>
    <row r="88" spans="1:10" ht="15.75" x14ac:dyDescent="0.25">
      <c r="A88" s="2"/>
      <c r="B88" s="813">
        <f t="shared" si="9"/>
        <v>39</v>
      </c>
      <c r="C88" s="15"/>
      <c r="D88" s="1289"/>
      <c r="E88" s="1290"/>
      <c r="F88" s="1277">
        <f t="shared" si="0"/>
        <v>0</v>
      </c>
      <c r="G88" s="1276"/>
      <c r="H88" s="194"/>
      <c r="I88" s="208">
        <f t="shared" si="7"/>
        <v>883.01</v>
      </c>
      <c r="J88" s="209">
        <f t="shared" si="8"/>
        <v>39</v>
      </c>
    </row>
    <row r="89" spans="1:10" ht="15.75" x14ac:dyDescent="0.25">
      <c r="A89" s="2"/>
      <c r="B89" s="813">
        <f t="shared" si="9"/>
        <v>39</v>
      </c>
      <c r="C89" s="15"/>
      <c r="D89" s="1289"/>
      <c r="E89" s="1290"/>
      <c r="F89" s="1277">
        <f t="shared" si="0"/>
        <v>0</v>
      </c>
      <c r="G89" s="1276"/>
      <c r="H89" s="194"/>
      <c r="I89" s="208">
        <f t="shared" si="7"/>
        <v>883.01</v>
      </c>
      <c r="J89" s="209">
        <f t="shared" si="8"/>
        <v>39</v>
      </c>
    </row>
    <row r="90" spans="1:10" ht="15.75" x14ac:dyDescent="0.25">
      <c r="A90" s="2"/>
      <c r="B90" s="813">
        <f t="shared" si="9"/>
        <v>39</v>
      </c>
      <c r="C90" s="15"/>
      <c r="D90" s="1289"/>
      <c r="E90" s="1290"/>
      <c r="F90" s="1277">
        <f t="shared" si="0"/>
        <v>0</v>
      </c>
      <c r="G90" s="1276"/>
      <c r="H90" s="194"/>
      <c r="I90" s="208">
        <f t="shared" si="7"/>
        <v>883.01</v>
      </c>
      <c r="J90" s="209">
        <f t="shared" si="8"/>
        <v>39</v>
      </c>
    </row>
    <row r="91" spans="1:10" ht="15.75" x14ac:dyDescent="0.25">
      <c r="A91" s="2"/>
      <c r="B91" s="813">
        <f t="shared" si="9"/>
        <v>39</v>
      </c>
      <c r="C91" s="15"/>
      <c r="D91" s="1289"/>
      <c r="E91" s="1290"/>
      <c r="F91" s="1277">
        <f t="shared" si="0"/>
        <v>0</v>
      </c>
      <c r="G91" s="1276"/>
      <c r="H91" s="194"/>
      <c r="I91" s="208">
        <f t="shared" si="7"/>
        <v>883.01</v>
      </c>
      <c r="J91" s="209">
        <f t="shared" si="8"/>
        <v>39</v>
      </c>
    </row>
    <row r="92" spans="1:10" ht="15.75" x14ac:dyDescent="0.25">
      <c r="A92" s="2"/>
      <c r="B92" s="813">
        <f t="shared" si="9"/>
        <v>39</v>
      </c>
      <c r="C92" s="15"/>
      <c r="D92" s="1289"/>
      <c r="E92" s="1290"/>
      <c r="F92" s="1277">
        <f t="shared" si="0"/>
        <v>0</v>
      </c>
      <c r="G92" s="1276"/>
      <c r="H92" s="194"/>
      <c r="I92" s="208">
        <f t="shared" si="7"/>
        <v>883.01</v>
      </c>
      <c r="J92" s="209">
        <f t="shared" si="8"/>
        <v>39</v>
      </c>
    </row>
    <row r="93" spans="1:10" ht="15.75" x14ac:dyDescent="0.25">
      <c r="A93" s="2"/>
      <c r="B93" s="813">
        <f t="shared" si="9"/>
        <v>39</v>
      </c>
      <c r="C93" s="15"/>
      <c r="D93" s="1289"/>
      <c r="E93" s="1290"/>
      <c r="F93" s="1277">
        <f t="shared" si="0"/>
        <v>0</v>
      </c>
      <c r="G93" s="1276"/>
      <c r="H93" s="194"/>
      <c r="I93" s="208">
        <f t="shared" si="7"/>
        <v>883.01</v>
      </c>
      <c r="J93" s="209">
        <f t="shared" si="8"/>
        <v>39</v>
      </c>
    </row>
    <row r="94" spans="1:10" ht="16.5" thickBot="1" x14ac:dyDescent="0.3">
      <c r="A94" s="4"/>
      <c r="B94" s="1513">
        <f>B64-C94</f>
        <v>78</v>
      </c>
      <c r="C94" s="37"/>
      <c r="D94" s="1291">
        <v>0</v>
      </c>
      <c r="E94" s="1292"/>
      <c r="F94" s="1283">
        <f t="shared" si="0"/>
        <v>0</v>
      </c>
      <c r="G94" s="1281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13"/>
      <c r="C95" s="89">
        <f>SUM(C8:C94)</f>
        <v>176</v>
      </c>
      <c r="D95" s="1048"/>
      <c r="E95" s="38"/>
      <c r="F95" s="5">
        <f>SUM(F8:F94)</f>
        <v>3995.9100000000008</v>
      </c>
    </row>
    <row r="96" spans="1:10" ht="16.5" thickBot="1" x14ac:dyDescent="0.3">
      <c r="A96" s="51"/>
      <c r="B96" s="813"/>
      <c r="D96" s="1048"/>
      <c r="E96" s="67">
        <f>F4+F5+F6-+C95</f>
        <v>39</v>
      </c>
    </row>
    <row r="97" spans="1:5" ht="15.75" thickBot="1" x14ac:dyDescent="0.3">
      <c r="A97" s="115"/>
    </row>
    <row r="98" spans="1:5" ht="16.5" thickTop="1" thickBot="1" x14ac:dyDescent="0.3">
      <c r="A98" s="47"/>
      <c r="C98" s="1716" t="s">
        <v>11</v>
      </c>
      <c r="D98" s="1717"/>
      <c r="E98" s="141">
        <f>E5+E4+E6+-F95</f>
        <v>883.00999999999931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671"/>
      <c r="B4" s="1710" t="s">
        <v>93</v>
      </c>
      <c r="C4" s="124"/>
      <c r="D4" s="130"/>
      <c r="E4" s="120"/>
      <c r="F4" s="72"/>
      <c r="G4" s="47"/>
      <c r="H4" s="798"/>
    </row>
    <row r="5" spans="1:9" ht="15" customHeight="1" x14ac:dyDescent="0.25">
      <c r="A5" s="1671"/>
      <c r="B5" s="1711"/>
      <c r="C5" s="124"/>
      <c r="D5" s="218"/>
      <c r="E5" s="644"/>
      <c r="F5" s="664"/>
    </row>
    <row r="6" spans="1:9" ht="15" customHeight="1" x14ac:dyDescent="0.25">
      <c r="A6" s="1723"/>
      <c r="B6" s="1711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723"/>
      <c r="B7" s="808"/>
      <c r="C7" s="124"/>
      <c r="D7" s="218"/>
      <c r="E7" s="77"/>
      <c r="F7" s="61"/>
    </row>
    <row r="8" spans="1:9" ht="16.5" thickBot="1" x14ac:dyDescent="0.3">
      <c r="A8" s="807"/>
      <c r="B8" s="80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24">
        <f>F4+F5-C10+F6+F7+F8</f>
        <v>0</v>
      </c>
      <c r="C10" s="704"/>
      <c r="D10" s="565"/>
      <c r="E10" s="643"/>
      <c r="F10" s="565">
        <f t="shared" ref="F10:F55" si="0">D10</f>
        <v>0</v>
      </c>
      <c r="G10" s="563"/>
      <c r="H10" s="564"/>
      <c r="I10" s="644">
        <f>E5+E4-F10+E6+E7+E8</f>
        <v>0</v>
      </c>
    </row>
    <row r="11" spans="1:9" x14ac:dyDescent="0.25">
      <c r="A11" s="76"/>
      <c r="B11" s="670">
        <f t="shared" ref="B11:B54" si="1">B10-C11</f>
        <v>0</v>
      </c>
      <c r="C11" s="704"/>
      <c r="D11" s="565"/>
      <c r="E11" s="643"/>
      <c r="F11" s="565">
        <f t="shared" si="0"/>
        <v>0</v>
      </c>
      <c r="G11" s="563"/>
      <c r="H11" s="564"/>
      <c r="I11" s="644">
        <f>I10-F11</f>
        <v>0</v>
      </c>
    </row>
    <row r="12" spans="1:9" x14ac:dyDescent="0.25">
      <c r="A12" s="12"/>
      <c r="B12" s="670">
        <f t="shared" si="1"/>
        <v>0</v>
      </c>
      <c r="C12" s="624"/>
      <c r="D12" s="565"/>
      <c r="E12" s="643"/>
      <c r="F12" s="565">
        <f t="shared" si="0"/>
        <v>0</v>
      </c>
      <c r="G12" s="563"/>
      <c r="H12" s="564"/>
      <c r="I12" s="644">
        <f t="shared" ref="I12:I55" si="2">I11-F12</f>
        <v>0</v>
      </c>
    </row>
    <row r="13" spans="1:9" x14ac:dyDescent="0.25">
      <c r="A13" s="54" t="s">
        <v>33</v>
      </c>
      <c r="B13" s="670">
        <f t="shared" si="1"/>
        <v>0</v>
      </c>
      <c r="C13" s="624"/>
      <c r="D13" s="565"/>
      <c r="E13" s="643"/>
      <c r="F13" s="565">
        <f t="shared" si="0"/>
        <v>0</v>
      </c>
      <c r="G13" s="563"/>
      <c r="H13" s="564"/>
      <c r="I13" s="644">
        <f t="shared" si="2"/>
        <v>0</v>
      </c>
    </row>
    <row r="14" spans="1:9" x14ac:dyDescent="0.25">
      <c r="A14" s="76"/>
      <c r="B14" s="670">
        <f t="shared" si="1"/>
        <v>0</v>
      </c>
      <c r="C14" s="624"/>
      <c r="D14" s="565"/>
      <c r="E14" s="643"/>
      <c r="F14" s="565">
        <f t="shared" si="0"/>
        <v>0</v>
      </c>
      <c r="G14" s="563"/>
      <c r="H14" s="564"/>
      <c r="I14" s="644">
        <f t="shared" si="2"/>
        <v>0</v>
      </c>
    </row>
    <row r="15" spans="1:9" x14ac:dyDescent="0.25">
      <c r="A15" s="12"/>
      <c r="B15" s="670">
        <f t="shared" si="1"/>
        <v>0</v>
      </c>
      <c r="C15" s="624"/>
      <c r="D15" s="565"/>
      <c r="E15" s="643"/>
      <c r="F15" s="565">
        <f t="shared" si="0"/>
        <v>0</v>
      </c>
      <c r="G15" s="563"/>
      <c r="H15" s="564"/>
      <c r="I15" s="644">
        <f t="shared" si="2"/>
        <v>0</v>
      </c>
    </row>
    <row r="16" spans="1:9" x14ac:dyDescent="0.25">
      <c r="B16" s="670">
        <f t="shared" si="1"/>
        <v>0</v>
      </c>
      <c r="C16" s="624"/>
      <c r="D16" s="565"/>
      <c r="E16" s="643"/>
      <c r="F16" s="565">
        <f t="shared" si="0"/>
        <v>0</v>
      </c>
      <c r="G16" s="563"/>
      <c r="H16" s="564"/>
      <c r="I16" s="644">
        <f t="shared" si="2"/>
        <v>0</v>
      </c>
    </row>
    <row r="17" spans="2:9" x14ac:dyDescent="0.25">
      <c r="B17" s="670">
        <f t="shared" si="1"/>
        <v>0</v>
      </c>
      <c r="C17" s="624"/>
      <c r="D17" s="565"/>
      <c r="E17" s="643"/>
      <c r="F17" s="565">
        <f t="shared" si="0"/>
        <v>0</v>
      </c>
      <c r="G17" s="563"/>
      <c r="H17" s="564"/>
      <c r="I17" s="644">
        <f t="shared" si="2"/>
        <v>0</v>
      </c>
    </row>
    <row r="18" spans="2:9" x14ac:dyDescent="0.25">
      <c r="B18" s="670">
        <f t="shared" si="1"/>
        <v>0</v>
      </c>
      <c r="C18" s="624"/>
      <c r="D18" s="565"/>
      <c r="E18" s="643"/>
      <c r="F18" s="565">
        <f t="shared" si="0"/>
        <v>0</v>
      </c>
      <c r="G18" s="563"/>
      <c r="H18" s="564"/>
      <c r="I18" s="644">
        <f t="shared" si="2"/>
        <v>0</v>
      </c>
    </row>
    <row r="19" spans="2:9" x14ac:dyDescent="0.25">
      <c r="B19" s="670">
        <f t="shared" si="1"/>
        <v>0</v>
      </c>
      <c r="C19" s="704"/>
      <c r="D19" s="565"/>
      <c r="E19" s="643"/>
      <c r="F19" s="565">
        <f t="shared" si="0"/>
        <v>0</v>
      </c>
      <c r="G19" s="563"/>
      <c r="H19" s="564"/>
      <c r="I19" s="644">
        <f t="shared" si="2"/>
        <v>0</v>
      </c>
    </row>
    <row r="20" spans="2:9" x14ac:dyDescent="0.25">
      <c r="B20" s="670">
        <f t="shared" si="1"/>
        <v>0</v>
      </c>
      <c r="C20" s="624"/>
      <c r="D20" s="565"/>
      <c r="E20" s="643"/>
      <c r="F20" s="565">
        <f t="shared" si="0"/>
        <v>0</v>
      </c>
      <c r="G20" s="563"/>
      <c r="H20" s="564"/>
      <c r="I20" s="644">
        <f t="shared" si="2"/>
        <v>0</v>
      </c>
    </row>
    <row r="21" spans="2:9" x14ac:dyDescent="0.25">
      <c r="B21" s="670">
        <f t="shared" si="1"/>
        <v>0</v>
      </c>
      <c r="C21" s="624"/>
      <c r="D21" s="565"/>
      <c r="E21" s="643"/>
      <c r="F21" s="565">
        <f t="shared" si="0"/>
        <v>0</v>
      </c>
      <c r="G21" s="563"/>
      <c r="H21" s="564"/>
      <c r="I21" s="644">
        <f t="shared" si="2"/>
        <v>0</v>
      </c>
    </row>
    <row r="22" spans="2:9" x14ac:dyDescent="0.25">
      <c r="B22" s="670">
        <f t="shared" si="1"/>
        <v>0</v>
      </c>
      <c r="C22" s="624"/>
      <c r="D22" s="565"/>
      <c r="E22" s="643"/>
      <c r="F22" s="565">
        <f t="shared" si="0"/>
        <v>0</v>
      </c>
      <c r="G22" s="563"/>
      <c r="H22" s="564"/>
      <c r="I22" s="644">
        <f t="shared" si="2"/>
        <v>0</v>
      </c>
    </row>
    <row r="23" spans="2:9" x14ac:dyDescent="0.25">
      <c r="B23" s="670">
        <f t="shared" si="1"/>
        <v>0</v>
      </c>
      <c r="C23" s="624"/>
      <c r="D23" s="565"/>
      <c r="E23" s="643"/>
      <c r="F23" s="565">
        <f t="shared" si="0"/>
        <v>0</v>
      </c>
      <c r="G23" s="563"/>
      <c r="H23" s="564"/>
      <c r="I23" s="644">
        <f t="shared" si="2"/>
        <v>0</v>
      </c>
    </row>
    <row r="24" spans="2:9" x14ac:dyDescent="0.25">
      <c r="B24" s="670">
        <f t="shared" si="1"/>
        <v>0</v>
      </c>
      <c r="C24" s="624"/>
      <c r="D24" s="565"/>
      <c r="E24" s="643"/>
      <c r="F24" s="565">
        <f t="shared" si="0"/>
        <v>0</v>
      </c>
      <c r="G24" s="563"/>
      <c r="H24" s="564"/>
      <c r="I24" s="644">
        <f t="shared" si="2"/>
        <v>0</v>
      </c>
    </row>
    <row r="25" spans="2:9" x14ac:dyDescent="0.25">
      <c r="B25" s="670">
        <f t="shared" si="1"/>
        <v>0</v>
      </c>
      <c r="C25" s="624"/>
      <c r="D25" s="565"/>
      <c r="E25" s="643"/>
      <c r="F25" s="565">
        <f t="shared" si="0"/>
        <v>0</v>
      </c>
      <c r="G25" s="563"/>
      <c r="H25" s="564"/>
      <c r="I25" s="644">
        <f t="shared" si="2"/>
        <v>0</v>
      </c>
    </row>
    <row r="26" spans="2:9" ht="18.75" x14ac:dyDescent="0.3">
      <c r="B26" s="1293">
        <f t="shared" si="1"/>
        <v>0</v>
      </c>
      <c r="C26" s="624"/>
      <c r="D26" s="565"/>
      <c r="E26" s="643"/>
      <c r="F26" s="565">
        <f t="shared" si="0"/>
        <v>0</v>
      </c>
      <c r="G26" s="563"/>
      <c r="H26" s="564"/>
      <c r="I26" s="1294">
        <f t="shared" si="2"/>
        <v>0</v>
      </c>
    </row>
    <row r="27" spans="2:9" x14ac:dyDescent="0.25">
      <c r="B27" s="670">
        <f t="shared" si="1"/>
        <v>0</v>
      </c>
      <c r="C27" s="624"/>
      <c r="D27" s="565"/>
      <c r="E27" s="643"/>
      <c r="F27" s="565">
        <f t="shared" si="0"/>
        <v>0</v>
      </c>
      <c r="G27" s="563"/>
      <c r="H27" s="564"/>
      <c r="I27" s="644">
        <f t="shared" si="2"/>
        <v>0</v>
      </c>
    </row>
    <row r="28" spans="2:9" x14ac:dyDescent="0.25">
      <c r="B28" s="670">
        <f t="shared" si="1"/>
        <v>0</v>
      </c>
      <c r="C28" s="624"/>
      <c r="D28" s="565"/>
      <c r="E28" s="643"/>
      <c r="F28" s="565">
        <f t="shared" si="0"/>
        <v>0</v>
      </c>
      <c r="G28" s="563"/>
      <c r="H28" s="564"/>
      <c r="I28" s="644">
        <f t="shared" si="2"/>
        <v>0</v>
      </c>
    </row>
    <row r="29" spans="2:9" x14ac:dyDescent="0.25">
      <c r="B29" s="670">
        <f t="shared" si="1"/>
        <v>0</v>
      </c>
      <c r="C29" s="624"/>
      <c r="D29" s="565"/>
      <c r="E29" s="643"/>
      <c r="F29" s="565">
        <f t="shared" si="0"/>
        <v>0</v>
      </c>
      <c r="G29" s="563"/>
      <c r="H29" s="564"/>
      <c r="I29" s="644">
        <f t="shared" si="2"/>
        <v>0</v>
      </c>
    </row>
    <row r="30" spans="2:9" x14ac:dyDescent="0.25">
      <c r="B30" s="670">
        <f t="shared" si="1"/>
        <v>0</v>
      </c>
      <c r="C30" s="624"/>
      <c r="D30" s="565"/>
      <c r="E30" s="643"/>
      <c r="F30" s="565">
        <f t="shared" si="0"/>
        <v>0</v>
      </c>
      <c r="G30" s="563"/>
      <c r="H30" s="564"/>
      <c r="I30" s="644">
        <f t="shared" si="2"/>
        <v>0</v>
      </c>
    </row>
    <row r="31" spans="2:9" x14ac:dyDescent="0.25">
      <c r="B31" s="670">
        <f t="shared" si="1"/>
        <v>0</v>
      </c>
      <c r="C31" s="624"/>
      <c r="D31" s="565"/>
      <c r="E31" s="643"/>
      <c r="F31" s="565">
        <f t="shared" si="0"/>
        <v>0</v>
      </c>
      <c r="G31" s="563"/>
      <c r="H31" s="564"/>
      <c r="I31" s="644">
        <f t="shared" si="2"/>
        <v>0</v>
      </c>
    </row>
    <row r="32" spans="2:9" x14ac:dyDescent="0.25">
      <c r="B32" s="670">
        <f t="shared" si="1"/>
        <v>0</v>
      </c>
      <c r="C32" s="624"/>
      <c r="D32" s="565"/>
      <c r="E32" s="643"/>
      <c r="F32" s="565">
        <f t="shared" si="0"/>
        <v>0</v>
      </c>
      <c r="G32" s="563"/>
      <c r="H32" s="564"/>
      <c r="I32" s="644">
        <f t="shared" si="2"/>
        <v>0</v>
      </c>
    </row>
    <row r="33" spans="2:9" x14ac:dyDescent="0.25">
      <c r="B33" s="670">
        <f t="shared" si="1"/>
        <v>0</v>
      </c>
      <c r="C33" s="624"/>
      <c r="D33" s="565"/>
      <c r="E33" s="643"/>
      <c r="F33" s="565">
        <f t="shared" si="0"/>
        <v>0</v>
      </c>
      <c r="G33" s="563"/>
      <c r="H33" s="564"/>
      <c r="I33" s="644">
        <f t="shared" si="2"/>
        <v>0</v>
      </c>
    </row>
    <row r="34" spans="2:9" x14ac:dyDescent="0.25">
      <c r="B34" s="670">
        <f t="shared" si="1"/>
        <v>0</v>
      </c>
      <c r="C34" s="624"/>
      <c r="D34" s="565"/>
      <c r="E34" s="643"/>
      <c r="F34" s="565">
        <f t="shared" si="0"/>
        <v>0</v>
      </c>
      <c r="G34" s="563"/>
      <c r="H34" s="564"/>
      <c r="I34" s="644">
        <f t="shared" si="2"/>
        <v>0</v>
      </c>
    </row>
    <row r="35" spans="2:9" x14ac:dyDescent="0.25">
      <c r="B35" s="670">
        <f t="shared" si="1"/>
        <v>0</v>
      </c>
      <c r="C35" s="624"/>
      <c r="D35" s="565"/>
      <c r="E35" s="643"/>
      <c r="F35" s="565">
        <f t="shared" si="0"/>
        <v>0</v>
      </c>
      <c r="G35" s="563"/>
      <c r="H35" s="564"/>
      <c r="I35" s="644">
        <f t="shared" si="2"/>
        <v>0</v>
      </c>
    </row>
    <row r="36" spans="2:9" x14ac:dyDescent="0.25">
      <c r="B36" s="670">
        <f t="shared" si="1"/>
        <v>0</v>
      </c>
      <c r="C36" s="624"/>
      <c r="D36" s="565"/>
      <c r="E36" s="643"/>
      <c r="F36" s="565">
        <f t="shared" si="0"/>
        <v>0</v>
      </c>
      <c r="G36" s="563"/>
      <c r="H36" s="564"/>
      <c r="I36" s="644">
        <f t="shared" si="2"/>
        <v>0</v>
      </c>
    </row>
    <row r="37" spans="2:9" x14ac:dyDescent="0.25">
      <c r="B37" s="670">
        <f t="shared" si="1"/>
        <v>0</v>
      </c>
      <c r="C37" s="624"/>
      <c r="D37" s="565"/>
      <c r="E37" s="643"/>
      <c r="F37" s="565">
        <f t="shared" si="0"/>
        <v>0</v>
      </c>
      <c r="G37" s="563"/>
      <c r="H37" s="564"/>
      <c r="I37" s="644">
        <f t="shared" si="2"/>
        <v>0</v>
      </c>
    </row>
    <row r="38" spans="2:9" x14ac:dyDescent="0.25">
      <c r="B38" s="670">
        <f t="shared" si="1"/>
        <v>0</v>
      </c>
      <c r="C38" s="624"/>
      <c r="D38" s="565"/>
      <c r="E38" s="643"/>
      <c r="F38" s="565">
        <f t="shared" si="0"/>
        <v>0</v>
      </c>
      <c r="G38" s="563"/>
      <c r="H38" s="564"/>
      <c r="I38" s="644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65" t="s">
        <v>11</v>
      </c>
      <c r="D61" s="1666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L1" zoomScaleNormal="100" workbookViewId="0">
      <pane ySplit="9" topLeftCell="A40" activePane="bottomLeft" state="frozen"/>
      <selection pane="bottomLeft" activeCell="T50" sqref="T50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663" t="s">
        <v>320</v>
      </c>
      <c r="B1" s="1663"/>
      <c r="C1" s="1663"/>
      <c r="D1" s="1663"/>
      <c r="E1" s="1663"/>
      <c r="F1" s="1663"/>
      <c r="G1" s="1663"/>
      <c r="H1" s="1663"/>
      <c r="I1" s="1663"/>
      <c r="J1" s="11">
        <v>1</v>
      </c>
      <c r="M1" s="1668" t="s">
        <v>336</v>
      </c>
      <c r="N1" s="1668"/>
      <c r="O1" s="1668"/>
      <c r="P1" s="1668"/>
      <c r="Q1" s="1668"/>
      <c r="R1" s="1668"/>
      <c r="S1" s="1668"/>
      <c r="T1" s="1668"/>
      <c r="U1" s="1668"/>
      <c r="V1" s="11">
        <v>2</v>
      </c>
    </row>
    <row r="2" spans="1:23" ht="15.75" thickBot="1" x14ac:dyDescent="0.3">
      <c r="I2" s="128"/>
      <c r="J2" s="1070"/>
      <c r="U2" s="128"/>
      <c r="V2" s="1225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070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225"/>
    </row>
    <row r="4" spans="1:23" ht="15.75" thickTop="1" x14ac:dyDescent="0.25">
      <c r="B4" s="12"/>
      <c r="C4" s="717"/>
      <c r="D4" s="718"/>
      <c r="E4" s="596"/>
      <c r="F4" s="576"/>
      <c r="G4" s="1070"/>
      <c r="I4" s="182"/>
      <c r="J4" s="1070" t="s">
        <v>36</v>
      </c>
      <c r="N4" s="12"/>
      <c r="O4" s="577">
        <v>43</v>
      </c>
      <c r="P4" s="712">
        <v>45110</v>
      </c>
      <c r="Q4" s="596">
        <v>2002.14</v>
      </c>
      <c r="R4" s="576">
        <v>441</v>
      </c>
      <c r="S4" s="1225"/>
      <c r="U4" s="182"/>
      <c r="V4" s="1225" t="s">
        <v>36</v>
      </c>
    </row>
    <row r="5" spans="1:23" ht="15" customHeight="1" x14ac:dyDescent="0.25">
      <c r="A5" s="1667" t="s">
        <v>92</v>
      </c>
      <c r="B5" s="1724" t="s">
        <v>43</v>
      </c>
      <c r="C5" s="717">
        <v>43</v>
      </c>
      <c r="D5" s="712">
        <v>45089</v>
      </c>
      <c r="E5" s="596">
        <v>2006.68</v>
      </c>
      <c r="F5" s="576">
        <v>442</v>
      </c>
      <c r="G5" s="5">
        <f>F110</f>
        <v>3032.72</v>
      </c>
      <c r="H5" s="7">
        <f>E4+E5-G5+E6+E8</f>
        <v>-22.699999999999704</v>
      </c>
      <c r="I5" s="182"/>
      <c r="J5" s="1070"/>
      <c r="M5" s="1667" t="s">
        <v>92</v>
      </c>
      <c r="N5" s="1724" t="s">
        <v>43</v>
      </c>
      <c r="O5" s="717">
        <v>42</v>
      </c>
      <c r="P5" s="718">
        <v>45119</v>
      </c>
      <c r="Q5" s="596">
        <v>2020.3</v>
      </c>
      <c r="R5" s="576">
        <v>445</v>
      </c>
      <c r="S5" s="5">
        <f>R110</f>
        <v>4571.7799999999988</v>
      </c>
      <c r="T5" s="7">
        <f>Q4+Q5-S5+Q6+Q8</f>
        <v>1493.6600000000012</v>
      </c>
      <c r="U5" s="182"/>
      <c r="V5" s="1225"/>
    </row>
    <row r="6" spans="1:23" x14ac:dyDescent="0.25">
      <c r="A6" s="1667"/>
      <c r="B6" s="1724"/>
      <c r="C6" s="577">
        <v>43</v>
      </c>
      <c r="D6" s="712">
        <v>45100</v>
      </c>
      <c r="E6" s="596">
        <v>1003.34</v>
      </c>
      <c r="F6" s="576">
        <v>221</v>
      </c>
      <c r="I6" s="183"/>
      <c r="J6" s="1070"/>
      <c r="M6" s="1667"/>
      <c r="N6" s="1724"/>
      <c r="O6" s="717">
        <v>42</v>
      </c>
      <c r="P6" s="712">
        <v>45132</v>
      </c>
      <c r="Q6" s="596">
        <v>2043</v>
      </c>
      <c r="R6" s="576">
        <v>450</v>
      </c>
      <c r="U6" s="183"/>
      <c r="V6" s="1225"/>
    </row>
    <row r="7" spans="1:23" x14ac:dyDescent="0.25">
      <c r="A7" s="1069"/>
      <c r="B7" s="1071"/>
      <c r="C7" s="577"/>
      <c r="D7" s="712"/>
      <c r="E7" s="596">
        <v>22.7</v>
      </c>
      <c r="F7" s="576">
        <v>5</v>
      </c>
      <c r="I7" s="183"/>
      <c r="J7" s="1070"/>
      <c r="M7" s="1223"/>
      <c r="N7" s="1226"/>
      <c r="O7" s="577"/>
      <c r="P7" s="712"/>
      <c r="Q7" s="596">
        <v>149.82</v>
      </c>
      <c r="R7" s="576">
        <v>33</v>
      </c>
      <c r="U7" s="183"/>
      <c r="V7" s="1225"/>
    </row>
    <row r="8" spans="1:23" ht="15.75" thickBot="1" x14ac:dyDescent="0.3">
      <c r="B8" s="12"/>
      <c r="C8" s="717"/>
      <c r="D8" s="718"/>
      <c r="E8" s="596"/>
      <c r="F8" s="576"/>
      <c r="I8" s="183"/>
      <c r="J8" s="1070"/>
      <c r="N8" s="12"/>
      <c r="O8" s="717"/>
      <c r="P8" s="718"/>
      <c r="Q8" s="596"/>
      <c r="R8" s="576"/>
      <c r="U8" s="183"/>
      <c r="V8" s="1225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070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225"/>
    </row>
    <row r="10" spans="1:23" ht="15.75" thickTop="1" x14ac:dyDescent="0.25">
      <c r="A10" s="1070"/>
      <c r="B10" s="129">
        <v>4.54</v>
      </c>
      <c r="C10" s="15">
        <v>30</v>
      </c>
      <c r="D10" s="68">
        <f t="shared" ref="D10" si="0">C10*B10</f>
        <v>136.19999999999999</v>
      </c>
      <c r="E10" s="186">
        <v>45092</v>
      </c>
      <c r="F10" s="68">
        <f t="shared" ref="F10" si="1">D10</f>
        <v>136.19999999999999</v>
      </c>
      <c r="G10" s="69" t="s">
        <v>222</v>
      </c>
      <c r="H10" s="70">
        <v>50</v>
      </c>
      <c r="I10" s="182">
        <f>E5+E4+E6+E8-F10+E7</f>
        <v>2896.52</v>
      </c>
      <c r="J10" s="1070">
        <f>F5-C10+F6+F4+F8+F7</f>
        <v>638</v>
      </c>
      <c r="K10" s="59">
        <f>H10*F10</f>
        <v>6809.9999999999991</v>
      </c>
      <c r="M10" s="1225"/>
      <c r="N10" s="129">
        <v>4.54</v>
      </c>
      <c r="O10" s="15">
        <v>34</v>
      </c>
      <c r="P10" s="68">
        <f t="shared" ref="P10:P11" si="2">O10*N10</f>
        <v>154.36000000000001</v>
      </c>
      <c r="Q10" s="578">
        <v>45110</v>
      </c>
      <c r="R10" s="565">
        <f t="shared" ref="R10:R11" si="3">P10</f>
        <v>154.36000000000001</v>
      </c>
      <c r="S10" s="563" t="s">
        <v>497</v>
      </c>
      <c r="T10" s="564">
        <v>50</v>
      </c>
      <c r="U10" s="182">
        <f>Q5+Q4+Q6+Q8-R10+Q7</f>
        <v>6060.9000000000005</v>
      </c>
      <c r="V10" s="1225">
        <f>R5-O10+R6+R4+R8+R7</f>
        <v>1335</v>
      </c>
      <c r="W10" s="59">
        <f>T10*R10</f>
        <v>7718.0000000000009</v>
      </c>
    </row>
    <row r="11" spans="1:23" x14ac:dyDescent="0.25">
      <c r="B11" s="129">
        <v>4.54</v>
      </c>
      <c r="C11" s="15">
        <v>2</v>
      </c>
      <c r="D11" s="68">
        <f t="shared" ref="D11:D73" si="4">C11*B11</f>
        <v>9.08</v>
      </c>
      <c r="E11" s="645">
        <v>45092</v>
      </c>
      <c r="F11" s="565">
        <f t="shared" ref="F11:F32" si="5">D11</f>
        <v>9.08</v>
      </c>
      <c r="G11" s="563" t="s">
        <v>230</v>
      </c>
      <c r="H11" s="520">
        <v>43</v>
      </c>
      <c r="I11" s="758">
        <f>I10-F11</f>
        <v>2887.44</v>
      </c>
      <c r="J11" s="576">
        <f>J10-C11</f>
        <v>636</v>
      </c>
      <c r="K11" s="59">
        <f t="shared" ref="K11:K85" si="6">H11*F11</f>
        <v>390.44</v>
      </c>
      <c r="N11" s="129">
        <v>4.54</v>
      </c>
      <c r="O11" s="15">
        <v>30</v>
      </c>
      <c r="P11" s="68">
        <f t="shared" si="2"/>
        <v>136.19999999999999</v>
      </c>
      <c r="Q11" s="578">
        <v>45111</v>
      </c>
      <c r="R11" s="565">
        <f t="shared" si="3"/>
        <v>136.19999999999999</v>
      </c>
      <c r="S11" s="563" t="s">
        <v>507</v>
      </c>
      <c r="T11" s="564">
        <v>50</v>
      </c>
      <c r="U11" s="758">
        <f>U10-R11</f>
        <v>5924.7000000000007</v>
      </c>
      <c r="V11" s="576">
        <f>V10-O11</f>
        <v>1305</v>
      </c>
      <c r="W11" s="59">
        <f t="shared" ref="W11:W85" si="7">T11*R11</f>
        <v>6809.9999999999991</v>
      </c>
    </row>
    <row r="12" spans="1:23" x14ac:dyDescent="0.25">
      <c r="A12" s="54" t="s">
        <v>32</v>
      </c>
      <c r="B12" s="129">
        <v>4.54</v>
      </c>
      <c r="C12" s="15">
        <v>36</v>
      </c>
      <c r="D12" s="68">
        <f t="shared" si="4"/>
        <v>163.44</v>
      </c>
      <c r="E12" s="645">
        <v>45093</v>
      </c>
      <c r="F12" s="565">
        <f t="shared" si="5"/>
        <v>163.44</v>
      </c>
      <c r="G12" s="563" t="s">
        <v>232</v>
      </c>
      <c r="H12" s="564">
        <v>50</v>
      </c>
      <c r="I12" s="758">
        <f t="shared" ref="I12:I75" si="8">I11-F12</f>
        <v>2724</v>
      </c>
      <c r="J12" s="576">
        <f t="shared" ref="J12:J42" si="9">J11-C12</f>
        <v>600</v>
      </c>
      <c r="K12" s="59">
        <f t="shared" si="6"/>
        <v>8172</v>
      </c>
      <c r="M12" s="54" t="s">
        <v>32</v>
      </c>
      <c r="N12" s="129">
        <v>4.54</v>
      </c>
      <c r="O12" s="15">
        <v>25</v>
      </c>
      <c r="P12" s="68">
        <f t="shared" ref="P12:P73" si="10">O12*N12</f>
        <v>113.5</v>
      </c>
      <c r="Q12" s="645">
        <v>45111</v>
      </c>
      <c r="R12" s="565">
        <f t="shared" ref="R12:R32" si="11">P12</f>
        <v>113.5</v>
      </c>
      <c r="S12" s="563" t="s">
        <v>509</v>
      </c>
      <c r="T12" s="564">
        <v>50</v>
      </c>
      <c r="U12" s="758">
        <f t="shared" ref="U12:U75" si="12">U11-R12</f>
        <v>5811.2000000000007</v>
      </c>
      <c r="V12" s="576">
        <f t="shared" ref="V12:V42" si="13">V11-O12</f>
        <v>1280</v>
      </c>
      <c r="W12" s="59">
        <f t="shared" si="7"/>
        <v>5675</v>
      </c>
    </row>
    <row r="13" spans="1:23" x14ac:dyDescent="0.25">
      <c r="A13" s="84"/>
      <c r="B13" s="129">
        <v>4.54</v>
      </c>
      <c r="C13" s="624">
        <v>50</v>
      </c>
      <c r="D13" s="565">
        <f t="shared" si="4"/>
        <v>227</v>
      </c>
      <c r="E13" s="645">
        <v>45093</v>
      </c>
      <c r="F13" s="565">
        <f t="shared" si="5"/>
        <v>227</v>
      </c>
      <c r="G13" s="563" t="s">
        <v>235</v>
      </c>
      <c r="H13" s="564">
        <v>50</v>
      </c>
      <c r="I13" s="758">
        <f t="shared" si="8"/>
        <v>2497</v>
      </c>
      <c r="J13" s="576">
        <f t="shared" si="9"/>
        <v>550</v>
      </c>
      <c r="K13" s="59">
        <f t="shared" si="6"/>
        <v>11350</v>
      </c>
      <c r="M13" s="84"/>
      <c r="N13" s="129">
        <v>4.54</v>
      </c>
      <c r="O13" s="624">
        <v>30</v>
      </c>
      <c r="P13" s="565">
        <f t="shared" si="10"/>
        <v>136.19999999999999</v>
      </c>
      <c r="Q13" s="645">
        <v>45112</v>
      </c>
      <c r="R13" s="565">
        <f t="shared" si="11"/>
        <v>136.19999999999999</v>
      </c>
      <c r="S13" s="563" t="s">
        <v>517</v>
      </c>
      <c r="T13" s="564">
        <v>50</v>
      </c>
      <c r="U13" s="758">
        <f t="shared" si="12"/>
        <v>5675.0000000000009</v>
      </c>
      <c r="V13" s="576">
        <f t="shared" si="13"/>
        <v>1250</v>
      </c>
      <c r="W13" s="59">
        <f t="shared" si="7"/>
        <v>6809.9999999999991</v>
      </c>
    </row>
    <row r="14" spans="1:23" x14ac:dyDescent="0.25">
      <c r="B14" s="129">
        <v>4.54</v>
      </c>
      <c r="C14" s="624">
        <v>50</v>
      </c>
      <c r="D14" s="565">
        <f t="shared" si="4"/>
        <v>227</v>
      </c>
      <c r="E14" s="645">
        <v>45094</v>
      </c>
      <c r="F14" s="565">
        <f t="shared" si="5"/>
        <v>227</v>
      </c>
      <c r="G14" s="563" t="s">
        <v>238</v>
      </c>
      <c r="H14" s="564">
        <v>50</v>
      </c>
      <c r="I14" s="758">
        <f t="shared" si="8"/>
        <v>2270</v>
      </c>
      <c r="J14" s="576">
        <f t="shared" si="9"/>
        <v>500</v>
      </c>
      <c r="K14" s="59">
        <f t="shared" si="6"/>
        <v>11350</v>
      </c>
      <c r="N14" s="129">
        <v>4.54</v>
      </c>
      <c r="O14" s="624">
        <v>20</v>
      </c>
      <c r="P14" s="565">
        <f t="shared" si="10"/>
        <v>90.8</v>
      </c>
      <c r="Q14" s="645">
        <v>45113</v>
      </c>
      <c r="R14" s="565">
        <f t="shared" si="11"/>
        <v>90.8</v>
      </c>
      <c r="S14" s="563" t="s">
        <v>521</v>
      </c>
      <c r="T14" s="564">
        <v>50</v>
      </c>
      <c r="U14" s="758">
        <f t="shared" si="12"/>
        <v>5584.2000000000007</v>
      </c>
      <c r="V14" s="576">
        <f t="shared" si="13"/>
        <v>1230</v>
      </c>
      <c r="W14" s="59">
        <f t="shared" si="7"/>
        <v>4540</v>
      </c>
    </row>
    <row r="15" spans="1:23" x14ac:dyDescent="0.25">
      <c r="A15" s="54" t="s">
        <v>33</v>
      </c>
      <c r="B15" s="129">
        <v>4.54</v>
      </c>
      <c r="C15" s="624">
        <v>6</v>
      </c>
      <c r="D15" s="565">
        <f t="shared" si="4"/>
        <v>27.240000000000002</v>
      </c>
      <c r="E15" s="645">
        <v>45094</v>
      </c>
      <c r="F15" s="565">
        <f t="shared" si="5"/>
        <v>27.240000000000002</v>
      </c>
      <c r="G15" s="563" t="s">
        <v>223</v>
      </c>
      <c r="H15" s="564">
        <v>50</v>
      </c>
      <c r="I15" s="758">
        <f t="shared" si="8"/>
        <v>2242.7600000000002</v>
      </c>
      <c r="J15" s="576">
        <f t="shared" si="9"/>
        <v>494</v>
      </c>
      <c r="K15" s="59">
        <f t="shared" si="6"/>
        <v>1362</v>
      </c>
      <c r="M15" s="54" t="s">
        <v>33</v>
      </c>
      <c r="N15" s="129">
        <v>4.54</v>
      </c>
      <c r="O15" s="624">
        <v>50</v>
      </c>
      <c r="P15" s="565">
        <f t="shared" si="10"/>
        <v>227</v>
      </c>
      <c r="Q15" s="645">
        <v>45114</v>
      </c>
      <c r="R15" s="565">
        <f t="shared" si="11"/>
        <v>227</v>
      </c>
      <c r="S15" s="563" t="s">
        <v>525</v>
      </c>
      <c r="T15" s="564">
        <v>50</v>
      </c>
      <c r="U15" s="758">
        <f t="shared" si="12"/>
        <v>5357.2000000000007</v>
      </c>
      <c r="V15" s="576">
        <f t="shared" si="13"/>
        <v>1180</v>
      </c>
      <c r="W15" s="59">
        <f t="shared" si="7"/>
        <v>11350</v>
      </c>
    </row>
    <row r="16" spans="1:23" x14ac:dyDescent="0.25">
      <c r="B16" s="129">
        <v>4.54</v>
      </c>
      <c r="C16" s="624">
        <v>40</v>
      </c>
      <c r="D16" s="565">
        <f t="shared" si="4"/>
        <v>181.6</v>
      </c>
      <c r="E16" s="578">
        <v>45096</v>
      </c>
      <c r="F16" s="565">
        <f t="shared" si="5"/>
        <v>181.6</v>
      </c>
      <c r="G16" s="563" t="s">
        <v>224</v>
      </c>
      <c r="H16" s="564">
        <v>50</v>
      </c>
      <c r="I16" s="758">
        <f t="shared" si="8"/>
        <v>2061.1600000000003</v>
      </c>
      <c r="J16" s="576">
        <f t="shared" si="9"/>
        <v>454</v>
      </c>
      <c r="K16" s="59">
        <f t="shared" si="6"/>
        <v>9080</v>
      </c>
      <c r="N16" s="129">
        <v>4.54</v>
      </c>
      <c r="O16" s="624">
        <v>5</v>
      </c>
      <c r="P16" s="565">
        <f t="shared" si="10"/>
        <v>22.7</v>
      </c>
      <c r="Q16" s="578">
        <v>45115</v>
      </c>
      <c r="R16" s="565">
        <f t="shared" si="11"/>
        <v>22.7</v>
      </c>
      <c r="S16" s="563" t="s">
        <v>539</v>
      </c>
      <c r="T16" s="564">
        <v>50</v>
      </c>
      <c r="U16" s="758">
        <f t="shared" si="12"/>
        <v>5334.5000000000009</v>
      </c>
      <c r="V16" s="576">
        <f t="shared" si="13"/>
        <v>1175</v>
      </c>
      <c r="W16" s="59">
        <f t="shared" si="7"/>
        <v>1135</v>
      </c>
    </row>
    <row r="17" spans="2:23" x14ac:dyDescent="0.25">
      <c r="B17" s="129">
        <v>4.54</v>
      </c>
      <c r="C17" s="624">
        <v>30</v>
      </c>
      <c r="D17" s="565">
        <f t="shared" si="4"/>
        <v>136.19999999999999</v>
      </c>
      <c r="E17" s="645">
        <v>45097</v>
      </c>
      <c r="F17" s="565">
        <f t="shared" si="5"/>
        <v>136.19999999999999</v>
      </c>
      <c r="G17" s="563" t="s">
        <v>243</v>
      </c>
      <c r="H17" s="564">
        <v>50</v>
      </c>
      <c r="I17" s="758">
        <f t="shared" si="8"/>
        <v>1924.9600000000003</v>
      </c>
      <c r="J17" s="576">
        <f t="shared" si="9"/>
        <v>424</v>
      </c>
      <c r="K17" s="59">
        <f t="shared" si="6"/>
        <v>6809.9999999999991</v>
      </c>
      <c r="N17" s="129">
        <v>4.54</v>
      </c>
      <c r="O17" s="624">
        <v>50</v>
      </c>
      <c r="P17" s="565">
        <f t="shared" si="10"/>
        <v>227</v>
      </c>
      <c r="Q17" s="645">
        <v>45115</v>
      </c>
      <c r="R17" s="565">
        <f t="shared" si="11"/>
        <v>227</v>
      </c>
      <c r="S17" s="563" t="s">
        <v>544</v>
      </c>
      <c r="T17" s="564">
        <v>50</v>
      </c>
      <c r="U17" s="758">
        <f t="shared" si="12"/>
        <v>5107.5000000000009</v>
      </c>
      <c r="V17" s="576">
        <f t="shared" si="13"/>
        <v>1125</v>
      </c>
      <c r="W17" s="59">
        <f t="shared" si="7"/>
        <v>11350</v>
      </c>
    </row>
    <row r="18" spans="2:23" x14ac:dyDescent="0.25">
      <c r="B18" s="129">
        <v>4.54</v>
      </c>
      <c r="C18" s="624">
        <v>5</v>
      </c>
      <c r="D18" s="565">
        <f t="shared" si="4"/>
        <v>22.7</v>
      </c>
      <c r="E18" s="645">
        <v>45098</v>
      </c>
      <c r="F18" s="565">
        <f t="shared" si="5"/>
        <v>22.7</v>
      </c>
      <c r="G18" s="563" t="s">
        <v>245</v>
      </c>
      <c r="H18" s="564">
        <v>50</v>
      </c>
      <c r="I18" s="758">
        <f t="shared" si="8"/>
        <v>1902.2600000000002</v>
      </c>
      <c r="J18" s="576">
        <f t="shared" si="9"/>
        <v>419</v>
      </c>
      <c r="K18" s="59">
        <f t="shared" si="6"/>
        <v>1135</v>
      </c>
      <c r="N18" s="129">
        <v>4.54</v>
      </c>
      <c r="O18" s="624">
        <v>50</v>
      </c>
      <c r="P18" s="565">
        <f t="shared" si="10"/>
        <v>227</v>
      </c>
      <c r="Q18" s="645">
        <v>45115</v>
      </c>
      <c r="R18" s="565">
        <f t="shared" si="11"/>
        <v>227</v>
      </c>
      <c r="S18" s="563" t="s">
        <v>549</v>
      </c>
      <c r="T18" s="564">
        <v>50</v>
      </c>
      <c r="U18" s="758">
        <f t="shared" si="12"/>
        <v>4880.5000000000009</v>
      </c>
      <c r="V18" s="576">
        <f t="shared" si="13"/>
        <v>1075</v>
      </c>
      <c r="W18" s="59">
        <f t="shared" si="7"/>
        <v>11350</v>
      </c>
    </row>
    <row r="19" spans="2:23" x14ac:dyDescent="0.25">
      <c r="B19" s="129">
        <v>4.54</v>
      </c>
      <c r="C19" s="624">
        <v>2</v>
      </c>
      <c r="D19" s="565">
        <f t="shared" si="4"/>
        <v>9.08</v>
      </c>
      <c r="E19" s="645">
        <v>45098</v>
      </c>
      <c r="F19" s="565">
        <f t="shared" si="5"/>
        <v>9.08</v>
      </c>
      <c r="G19" s="563" t="s">
        <v>247</v>
      </c>
      <c r="H19" s="520">
        <v>43</v>
      </c>
      <c r="I19" s="758">
        <f t="shared" si="8"/>
        <v>1893.1800000000003</v>
      </c>
      <c r="J19" s="576">
        <f t="shared" si="9"/>
        <v>417</v>
      </c>
      <c r="K19" s="59">
        <f t="shared" si="6"/>
        <v>390.44</v>
      </c>
      <c r="N19" s="129">
        <v>4.54</v>
      </c>
      <c r="O19" s="624">
        <v>30</v>
      </c>
      <c r="P19" s="565">
        <f t="shared" si="10"/>
        <v>136.19999999999999</v>
      </c>
      <c r="Q19" s="645">
        <v>45117</v>
      </c>
      <c r="R19" s="565">
        <f t="shared" si="11"/>
        <v>136.19999999999999</v>
      </c>
      <c r="S19" s="563" t="s">
        <v>552</v>
      </c>
      <c r="T19" s="564">
        <v>50</v>
      </c>
      <c r="U19" s="758">
        <f t="shared" si="12"/>
        <v>4744.3000000000011</v>
      </c>
      <c r="V19" s="576">
        <f t="shared" si="13"/>
        <v>1045</v>
      </c>
      <c r="W19" s="59">
        <f t="shared" si="7"/>
        <v>6809.9999999999991</v>
      </c>
    </row>
    <row r="20" spans="2:23" x14ac:dyDescent="0.25">
      <c r="B20" s="129">
        <v>4.54</v>
      </c>
      <c r="C20" s="624">
        <v>50</v>
      </c>
      <c r="D20" s="565">
        <f t="shared" si="4"/>
        <v>227</v>
      </c>
      <c r="E20" s="645">
        <v>45099</v>
      </c>
      <c r="F20" s="565">
        <f t="shared" si="5"/>
        <v>227</v>
      </c>
      <c r="G20" s="563" t="s">
        <v>250</v>
      </c>
      <c r="H20" s="564">
        <v>50</v>
      </c>
      <c r="I20" s="758">
        <f t="shared" si="8"/>
        <v>1666.1800000000003</v>
      </c>
      <c r="J20" s="576">
        <f t="shared" si="9"/>
        <v>367</v>
      </c>
      <c r="K20" s="59">
        <f t="shared" si="6"/>
        <v>11350</v>
      </c>
      <c r="N20" s="129">
        <v>4.54</v>
      </c>
      <c r="O20" s="624">
        <v>4</v>
      </c>
      <c r="P20" s="565">
        <f t="shared" si="10"/>
        <v>18.16</v>
      </c>
      <c r="Q20" s="645">
        <v>45118</v>
      </c>
      <c r="R20" s="565">
        <f t="shared" si="11"/>
        <v>18.16</v>
      </c>
      <c r="S20" s="563" t="s">
        <v>562</v>
      </c>
      <c r="T20" s="564">
        <v>50</v>
      </c>
      <c r="U20" s="758">
        <f t="shared" si="12"/>
        <v>4726.1400000000012</v>
      </c>
      <c r="V20" s="576">
        <f t="shared" si="13"/>
        <v>1041</v>
      </c>
      <c r="W20" s="59">
        <f t="shared" si="7"/>
        <v>908</v>
      </c>
    </row>
    <row r="21" spans="2:23" x14ac:dyDescent="0.25">
      <c r="B21" s="129">
        <v>4.54</v>
      </c>
      <c r="C21" s="624">
        <v>30</v>
      </c>
      <c r="D21" s="565">
        <f t="shared" si="4"/>
        <v>136.19999999999999</v>
      </c>
      <c r="E21" s="645">
        <v>45099</v>
      </c>
      <c r="F21" s="565">
        <f t="shared" si="5"/>
        <v>136.19999999999999</v>
      </c>
      <c r="G21" s="563" t="s">
        <v>251</v>
      </c>
      <c r="H21" s="564">
        <v>50</v>
      </c>
      <c r="I21" s="758">
        <f t="shared" si="8"/>
        <v>1529.9800000000002</v>
      </c>
      <c r="J21" s="576">
        <f t="shared" si="9"/>
        <v>337</v>
      </c>
      <c r="K21" s="59">
        <f t="shared" si="6"/>
        <v>6809.9999999999991</v>
      </c>
      <c r="N21" s="129">
        <v>4.54</v>
      </c>
      <c r="O21" s="624">
        <v>1</v>
      </c>
      <c r="P21" s="565">
        <f t="shared" si="10"/>
        <v>4.54</v>
      </c>
      <c r="Q21" s="645">
        <v>45118</v>
      </c>
      <c r="R21" s="565">
        <f t="shared" si="11"/>
        <v>4.54</v>
      </c>
      <c r="S21" s="563" t="s">
        <v>572</v>
      </c>
      <c r="T21" s="564">
        <v>43</v>
      </c>
      <c r="U21" s="758">
        <f t="shared" si="12"/>
        <v>4721.6000000000013</v>
      </c>
      <c r="V21" s="576">
        <f t="shared" si="13"/>
        <v>1040</v>
      </c>
      <c r="W21" s="59">
        <f t="shared" si="7"/>
        <v>195.22</v>
      </c>
    </row>
    <row r="22" spans="2:23" x14ac:dyDescent="0.25">
      <c r="B22" s="129">
        <v>4.54</v>
      </c>
      <c r="C22" s="624">
        <v>5</v>
      </c>
      <c r="D22" s="565">
        <f t="shared" si="4"/>
        <v>22.7</v>
      </c>
      <c r="E22" s="645">
        <v>45100</v>
      </c>
      <c r="F22" s="565">
        <f t="shared" si="5"/>
        <v>22.7</v>
      </c>
      <c r="G22" s="563" t="s">
        <v>253</v>
      </c>
      <c r="H22" s="564">
        <v>50</v>
      </c>
      <c r="I22" s="758">
        <f t="shared" si="8"/>
        <v>1507.2800000000002</v>
      </c>
      <c r="J22" s="576">
        <f t="shared" si="9"/>
        <v>332</v>
      </c>
      <c r="K22" s="59">
        <f t="shared" si="6"/>
        <v>1135</v>
      </c>
      <c r="N22" s="129">
        <v>4.54</v>
      </c>
      <c r="O22" s="624">
        <v>30</v>
      </c>
      <c r="P22" s="565">
        <f t="shared" si="10"/>
        <v>136.19999999999999</v>
      </c>
      <c r="Q22" s="645">
        <v>45119</v>
      </c>
      <c r="R22" s="565">
        <f t="shared" si="11"/>
        <v>136.19999999999999</v>
      </c>
      <c r="S22" s="563" t="s">
        <v>576</v>
      </c>
      <c r="T22" s="564">
        <v>50</v>
      </c>
      <c r="U22" s="758">
        <f t="shared" si="12"/>
        <v>4585.4000000000015</v>
      </c>
      <c r="V22" s="576">
        <f t="shared" si="13"/>
        <v>1010</v>
      </c>
      <c r="W22" s="59">
        <f t="shared" si="7"/>
        <v>6809.9999999999991</v>
      </c>
    </row>
    <row r="23" spans="2:23" x14ac:dyDescent="0.25">
      <c r="B23" s="129">
        <v>4.54</v>
      </c>
      <c r="C23" s="624">
        <v>30</v>
      </c>
      <c r="D23" s="565">
        <f t="shared" si="4"/>
        <v>136.19999999999999</v>
      </c>
      <c r="E23" s="645">
        <v>45100</v>
      </c>
      <c r="F23" s="565">
        <f t="shared" si="5"/>
        <v>136.19999999999999</v>
      </c>
      <c r="G23" s="563" t="s">
        <v>255</v>
      </c>
      <c r="H23" s="564">
        <v>50</v>
      </c>
      <c r="I23" s="758">
        <f t="shared" si="8"/>
        <v>1371.0800000000002</v>
      </c>
      <c r="J23" s="576">
        <f t="shared" si="9"/>
        <v>302</v>
      </c>
      <c r="K23" s="59">
        <f t="shared" si="6"/>
        <v>6809.9999999999991</v>
      </c>
      <c r="N23" s="129">
        <v>4.54</v>
      </c>
      <c r="O23" s="624">
        <v>25</v>
      </c>
      <c r="P23" s="565">
        <f t="shared" si="10"/>
        <v>113.5</v>
      </c>
      <c r="Q23" s="645">
        <v>45120</v>
      </c>
      <c r="R23" s="565">
        <f t="shared" si="11"/>
        <v>113.5</v>
      </c>
      <c r="S23" s="563" t="s">
        <v>585</v>
      </c>
      <c r="T23" s="564">
        <v>50</v>
      </c>
      <c r="U23" s="758">
        <f t="shared" si="12"/>
        <v>4471.9000000000015</v>
      </c>
      <c r="V23" s="576">
        <f t="shared" si="13"/>
        <v>985</v>
      </c>
      <c r="W23" s="59">
        <f t="shared" si="7"/>
        <v>5675</v>
      </c>
    </row>
    <row r="24" spans="2:23" x14ac:dyDescent="0.25">
      <c r="B24" s="129">
        <v>4.54</v>
      </c>
      <c r="C24" s="624">
        <v>50</v>
      </c>
      <c r="D24" s="565">
        <f t="shared" si="4"/>
        <v>227</v>
      </c>
      <c r="E24" s="645">
        <v>45101</v>
      </c>
      <c r="F24" s="565">
        <f t="shared" si="5"/>
        <v>227</v>
      </c>
      <c r="G24" s="563" t="s">
        <v>262</v>
      </c>
      <c r="H24" s="564">
        <v>50</v>
      </c>
      <c r="I24" s="758">
        <f t="shared" si="8"/>
        <v>1144.0800000000002</v>
      </c>
      <c r="J24" s="576">
        <f t="shared" si="9"/>
        <v>252</v>
      </c>
      <c r="K24" s="59">
        <f t="shared" si="6"/>
        <v>11350</v>
      </c>
      <c r="N24" s="129">
        <v>4.54</v>
      </c>
      <c r="O24" s="624">
        <v>6</v>
      </c>
      <c r="P24" s="565">
        <f t="shared" si="10"/>
        <v>27.240000000000002</v>
      </c>
      <c r="Q24" s="645">
        <v>45120</v>
      </c>
      <c r="R24" s="565">
        <f t="shared" si="11"/>
        <v>27.240000000000002</v>
      </c>
      <c r="S24" s="563" t="s">
        <v>586</v>
      </c>
      <c r="T24" s="564">
        <v>50</v>
      </c>
      <c r="U24" s="758">
        <f t="shared" si="12"/>
        <v>4444.6600000000017</v>
      </c>
      <c r="V24" s="576">
        <f t="shared" si="13"/>
        <v>979</v>
      </c>
      <c r="W24" s="59">
        <f t="shared" si="7"/>
        <v>1362</v>
      </c>
    </row>
    <row r="25" spans="2:23" x14ac:dyDescent="0.25">
      <c r="B25" s="129">
        <v>4.54</v>
      </c>
      <c r="C25" s="624">
        <v>2</v>
      </c>
      <c r="D25" s="565">
        <f t="shared" si="4"/>
        <v>9.08</v>
      </c>
      <c r="E25" s="645">
        <v>45103</v>
      </c>
      <c r="F25" s="565">
        <f t="shared" si="5"/>
        <v>9.08</v>
      </c>
      <c r="G25" s="563" t="s">
        <v>264</v>
      </c>
      <c r="H25" s="564">
        <v>50</v>
      </c>
      <c r="I25" s="758">
        <f t="shared" si="8"/>
        <v>1135.0000000000002</v>
      </c>
      <c r="J25" s="576">
        <f t="shared" si="9"/>
        <v>250</v>
      </c>
      <c r="K25" s="595">
        <f t="shared" si="6"/>
        <v>454</v>
      </c>
      <c r="N25" s="129">
        <v>4.54</v>
      </c>
      <c r="O25" s="624">
        <v>30</v>
      </c>
      <c r="P25" s="565">
        <f t="shared" si="10"/>
        <v>136.19999999999999</v>
      </c>
      <c r="Q25" s="645">
        <v>45121</v>
      </c>
      <c r="R25" s="565">
        <f t="shared" si="11"/>
        <v>136.19999999999999</v>
      </c>
      <c r="S25" s="563" t="s">
        <v>596</v>
      </c>
      <c r="T25" s="564">
        <v>50</v>
      </c>
      <c r="U25" s="758">
        <f t="shared" si="12"/>
        <v>4308.4600000000019</v>
      </c>
      <c r="V25" s="576">
        <f t="shared" si="13"/>
        <v>949</v>
      </c>
      <c r="W25" s="595">
        <f t="shared" si="7"/>
        <v>6809.9999999999991</v>
      </c>
    </row>
    <row r="26" spans="2:23" x14ac:dyDescent="0.25">
      <c r="B26" s="129">
        <v>4.54</v>
      </c>
      <c r="C26" s="624">
        <v>30</v>
      </c>
      <c r="D26" s="565">
        <f t="shared" si="4"/>
        <v>136.19999999999999</v>
      </c>
      <c r="E26" s="645">
        <v>45103</v>
      </c>
      <c r="F26" s="565">
        <f t="shared" si="5"/>
        <v>136.19999999999999</v>
      </c>
      <c r="G26" s="563" t="s">
        <v>268</v>
      </c>
      <c r="H26" s="564">
        <v>50</v>
      </c>
      <c r="I26" s="758">
        <f t="shared" si="8"/>
        <v>998.80000000000018</v>
      </c>
      <c r="J26" s="576">
        <f t="shared" si="9"/>
        <v>220</v>
      </c>
      <c r="K26" s="595">
        <f t="shared" si="6"/>
        <v>6809.9999999999991</v>
      </c>
      <c r="N26" s="129">
        <v>4.54</v>
      </c>
      <c r="O26" s="624">
        <v>13</v>
      </c>
      <c r="P26" s="565">
        <f t="shared" si="10"/>
        <v>59.02</v>
      </c>
      <c r="Q26" s="645">
        <v>45121</v>
      </c>
      <c r="R26" s="565">
        <f t="shared" si="11"/>
        <v>59.02</v>
      </c>
      <c r="S26" s="563" t="s">
        <v>597</v>
      </c>
      <c r="T26" s="564">
        <v>50</v>
      </c>
      <c r="U26" s="758">
        <f t="shared" si="12"/>
        <v>4249.4400000000014</v>
      </c>
      <c r="V26" s="576">
        <f t="shared" si="13"/>
        <v>936</v>
      </c>
      <c r="W26" s="595">
        <f t="shared" si="7"/>
        <v>2951</v>
      </c>
    </row>
    <row r="27" spans="2:23" x14ac:dyDescent="0.25">
      <c r="B27" s="129">
        <v>4.54</v>
      </c>
      <c r="C27" s="15">
        <v>30</v>
      </c>
      <c r="D27" s="68">
        <f t="shared" si="4"/>
        <v>136.19999999999999</v>
      </c>
      <c r="E27" s="645">
        <v>45104</v>
      </c>
      <c r="F27" s="565">
        <f t="shared" si="5"/>
        <v>136.19999999999999</v>
      </c>
      <c r="G27" s="563" t="s">
        <v>274</v>
      </c>
      <c r="H27" s="564">
        <v>50</v>
      </c>
      <c r="I27" s="758">
        <f t="shared" si="8"/>
        <v>862.60000000000014</v>
      </c>
      <c r="J27" s="576">
        <f t="shared" si="9"/>
        <v>190</v>
      </c>
      <c r="K27" s="595">
        <f t="shared" si="6"/>
        <v>6809.9999999999991</v>
      </c>
      <c r="N27" s="129">
        <v>4.54</v>
      </c>
      <c r="O27" s="15">
        <v>4</v>
      </c>
      <c r="P27" s="68">
        <f t="shared" si="10"/>
        <v>18.16</v>
      </c>
      <c r="Q27" s="645">
        <v>45121</v>
      </c>
      <c r="R27" s="565">
        <f t="shared" si="11"/>
        <v>18.16</v>
      </c>
      <c r="S27" s="563" t="s">
        <v>602</v>
      </c>
      <c r="T27" s="564">
        <v>50</v>
      </c>
      <c r="U27" s="758">
        <f t="shared" si="12"/>
        <v>4231.2800000000016</v>
      </c>
      <c r="V27" s="576">
        <f t="shared" si="13"/>
        <v>932</v>
      </c>
      <c r="W27" s="595">
        <f t="shared" si="7"/>
        <v>908</v>
      </c>
    </row>
    <row r="28" spans="2:23" x14ac:dyDescent="0.25">
      <c r="B28" s="129">
        <v>4.54</v>
      </c>
      <c r="C28" s="15">
        <v>5</v>
      </c>
      <c r="D28" s="68">
        <f t="shared" si="4"/>
        <v>22.7</v>
      </c>
      <c r="E28" s="645">
        <v>45105</v>
      </c>
      <c r="F28" s="565">
        <f t="shared" si="5"/>
        <v>22.7</v>
      </c>
      <c r="G28" s="563" t="s">
        <v>283</v>
      </c>
      <c r="H28" s="564">
        <v>50</v>
      </c>
      <c r="I28" s="758">
        <f t="shared" si="8"/>
        <v>839.90000000000009</v>
      </c>
      <c r="J28" s="576">
        <f t="shared" si="9"/>
        <v>185</v>
      </c>
      <c r="K28" s="595">
        <f t="shared" si="6"/>
        <v>1135</v>
      </c>
      <c r="N28" s="129">
        <v>4.54</v>
      </c>
      <c r="O28" s="15">
        <v>50</v>
      </c>
      <c r="P28" s="68">
        <f t="shared" si="10"/>
        <v>227</v>
      </c>
      <c r="Q28" s="645">
        <v>45122</v>
      </c>
      <c r="R28" s="565">
        <f t="shared" si="11"/>
        <v>227</v>
      </c>
      <c r="S28" s="563" t="s">
        <v>607</v>
      </c>
      <c r="T28" s="564">
        <v>50</v>
      </c>
      <c r="U28" s="758">
        <f t="shared" si="12"/>
        <v>4004.2800000000016</v>
      </c>
      <c r="V28" s="576">
        <f t="shared" si="13"/>
        <v>882</v>
      </c>
      <c r="W28" s="595">
        <f t="shared" si="7"/>
        <v>11350</v>
      </c>
    </row>
    <row r="29" spans="2:23" x14ac:dyDescent="0.25">
      <c r="B29" s="129">
        <v>4.54</v>
      </c>
      <c r="C29" s="15">
        <v>20</v>
      </c>
      <c r="D29" s="68">
        <f t="shared" si="4"/>
        <v>90.8</v>
      </c>
      <c r="E29" s="645">
        <v>45106</v>
      </c>
      <c r="F29" s="565">
        <f t="shared" si="5"/>
        <v>90.8</v>
      </c>
      <c r="G29" s="563" t="s">
        <v>290</v>
      </c>
      <c r="H29" s="564">
        <v>50</v>
      </c>
      <c r="I29" s="758">
        <f t="shared" si="8"/>
        <v>749.10000000000014</v>
      </c>
      <c r="J29" s="576">
        <f t="shared" si="9"/>
        <v>165</v>
      </c>
      <c r="K29" s="595">
        <f t="shared" si="6"/>
        <v>4540</v>
      </c>
      <c r="N29" s="129">
        <v>4.54</v>
      </c>
      <c r="O29" s="15">
        <v>24</v>
      </c>
      <c r="P29" s="68">
        <f t="shared" si="10"/>
        <v>108.96000000000001</v>
      </c>
      <c r="Q29" s="645">
        <v>45122</v>
      </c>
      <c r="R29" s="565">
        <f t="shared" si="11"/>
        <v>108.96000000000001</v>
      </c>
      <c r="S29" s="563" t="s">
        <v>613</v>
      </c>
      <c r="T29" s="564">
        <v>50</v>
      </c>
      <c r="U29" s="758">
        <f t="shared" si="12"/>
        <v>3895.3200000000015</v>
      </c>
      <c r="V29" s="576">
        <f t="shared" si="13"/>
        <v>858</v>
      </c>
      <c r="W29" s="595">
        <f t="shared" si="7"/>
        <v>5448</v>
      </c>
    </row>
    <row r="30" spans="2:23" x14ac:dyDescent="0.25">
      <c r="B30" s="129">
        <v>4.54</v>
      </c>
      <c r="C30" s="15">
        <v>3</v>
      </c>
      <c r="D30" s="68">
        <f t="shared" si="4"/>
        <v>13.620000000000001</v>
      </c>
      <c r="E30" s="645">
        <v>45107</v>
      </c>
      <c r="F30" s="565">
        <f t="shared" si="5"/>
        <v>13.620000000000001</v>
      </c>
      <c r="G30" s="563" t="s">
        <v>291</v>
      </c>
      <c r="H30" s="564">
        <v>50</v>
      </c>
      <c r="I30" s="758">
        <f t="shared" si="8"/>
        <v>735.48000000000013</v>
      </c>
      <c r="J30" s="576">
        <f t="shared" si="9"/>
        <v>162</v>
      </c>
      <c r="K30" s="595">
        <f t="shared" si="6"/>
        <v>681</v>
      </c>
      <c r="N30" s="129">
        <v>4.54</v>
      </c>
      <c r="O30" s="15">
        <v>2</v>
      </c>
      <c r="P30" s="68">
        <f t="shared" si="10"/>
        <v>9.08</v>
      </c>
      <c r="Q30" s="645">
        <v>45122</v>
      </c>
      <c r="R30" s="565">
        <f t="shared" si="11"/>
        <v>9.08</v>
      </c>
      <c r="S30" s="563" t="s">
        <v>615</v>
      </c>
      <c r="T30" s="564">
        <v>50</v>
      </c>
      <c r="U30" s="758">
        <f t="shared" si="12"/>
        <v>3886.2400000000016</v>
      </c>
      <c r="V30" s="576">
        <f t="shared" si="13"/>
        <v>856</v>
      </c>
      <c r="W30" s="595">
        <f t="shared" si="7"/>
        <v>454</v>
      </c>
    </row>
    <row r="31" spans="2:23" x14ac:dyDescent="0.25">
      <c r="B31" s="129">
        <v>4.54</v>
      </c>
      <c r="C31" s="15">
        <v>38</v>
      </c>
      <c r="D31" s="68">
        <f t="shared" si="4"/>
        <v>172.52</v>
      </c>
      <c r="E31" s="645">
        <v>45107</v>
      </c>
      <c r="F31" s="565">
        <f t="shared" si="5"/>
        <v>172.52</v>
      </c>
      <c r="G31" s="563" t="s">
        <v>294</v>
      </c>
      <c r="H31" s="564">
        <v>50</v>
      </c>
      <c r="I31" s="758">
        <f t="shared" si="8"/>
        <v>562.96000000000015</v>
      </c>
      <c r="J31" s="576">
        <f t="shared" si="9"/>
        <v>124</v>
      </c>
      <c r="K31" s="595">
        <f t="shared" si="6"/>
        <v>8626</v>
      </c>
      <c r="N31" s="129">
        <v>4.54</v>
      </c>
      <c r="O31" s="15">
        <v>40</v>
      </c>
      <c r="P31" s="68">
        <f t="shared" si="10"/>
        <v>181.6</v>
      </c>
      <c r="Q31" s="645">
        <v>45124</v>
      </c>
      <c r="R31" s="565">
        <f t="shared" si="11"/>
        <v>181.6</v>
      </c>
      <c r="S31" s="563" t="s">
        <v>617</v>
      </c>
      <c r="T31" s="564">
        <v>50</v>
      </c>
      <c r="U31" s="758">
        <f t="shared" si="12"/>
        <v>3704.6400000000017</v>
      </c>
      <c r="V31" s="576">
        <f t="shared" si="13"/>
        <v>816</v>
      </c>
      <c r="W31" s="595">
        <f t="shared" si="7"/>
        <v>9080</v>
      </c>
    </row>
    <row r="32" spans="2:23" x14ac:dyDescent="0.25">
      <c r="B32" s="129">
        <v>4.54</v>
      </c>
      <c r="C32" s="15">
        <v>36</v>
      </c>
      <c r="D32" s="68">
        <f t="shared" si="4"/>
        <v>163.44</v>
      </c>
      <c r="E32" s="645">
        <v>45108</v>
      </c>
      <c r="F32" s="565">
        <f t="shared" si="5"/>
        <v>163.44</v>
      </c>
      <c r="G32" s="563" t="s">
        <v>297</v>
      </c>
      <c r="H32" s="564">
        <v>50</v>
      </c>
      <c r="I32" s="758">
        <f t="shared" si="8"/>
        <v>399.52000000000015</v>
      </c>
      <c r="J32" s="576">
        <f t="shared" si="9"/>
        <v>88</v>
      </c>
      <c r="K32" s="595">
        <f t="shared" si="6"/>
        <v>8172</v>
      </c>
      <c r="N32" s="129">
        <v>4.54</v>
      </c>
      <c r="O32" s="15">
        <v>30</v>
      </c>
      <c r="P32" s="68">
        <f t="shared" si="10"/>
        <v>136.19999999999999</v>
      </c>
      <c r="Q32" s="645">
        <v>45125</v>
      </c>
      <c r="R32" s="565">
        <f t="shared" si="11"/>
        <v>136.19999999999999</v>
      </c>
      <c r="S32" s="563" t="s">
        <v>634</v>
      </c>
      <c r="T32" s="564">
        <v>50</v>
      </c>
      <c r="U32" s="758">
        <f t="shared" si="12"/>
        <v>3568.4400000000019</v>
      </c>
      <c r="V32" s="576">
        <f t="shared" si="13"/>
        <v>786</v>
      </c>
      <c r="W32" s="595">
        <f t="shared" si="7"/>
        <v>6809.9999999999991</v>
      </c>
    </row>
    <row r="33" spans="1:23" x14ac:dyDescent="0.25">
      <c r="B33" s="129">
        <v>4.54</v>
      </c>
      <c r="C33" s="15">
        <v>50</v>
      </c>
      <c r="D33" s="68">
        <f t="shared" si="4"/>
        <v>227</v>
      </c>
      <c r="E33" s="645">
        <v>45108</v>
      </c>
      <c r="F33" s="565">
        <f>D33</f>
        <v>227</v>
      </c>
      <c r="G33" s="563" t="s">
        <v>302</v>
      </c>
      <c r="H33" s="564">
        <v>50</v>
      </c>
      <c r="I33" s="836">
        <f t="shared" si="8"/>
        <v>172.52000000000015</v>
      </c>
      <c r="J33" s="635">
        <f t="shared" si="9"/>
        <v>38</v>
      </c>
      <c r="K33" s="595">
        <f t="shared" si="6"/>
        <v>11350</v>
      </c>
      <c r="N33" s="129">
        <v>4.54</v>
      </c>
      <c r="O33" s="15">
        <v>30</v>
      </c>
      <c r="P33" s="68">
        <f t="shared" si="10"/>
        <v>136.19999999999999</v>
      </c>
      <c r="Q33" s="645">
        <v>45126</v>
      </c>
      <c r="R33" s="565">
        <f>P33</f>
        <v>136.19999999999999</v>
      </c>
      <c r="S33" s="563" t="s">
        <v>643</v>
      </c>
      <c r="T33" s="564">
        <v>50</v>
      </c>
      <c r="U33" s="758">
        <f t="shared" si="12"/>
        <v>3432.2400000000021</v>
      </c>
      <c r="V33" s="576">
        <f t="shared" si="13"/>
        <v>756</v>
      </c>
      <c r="W33" s="595">
        <f t="shared" si="7"/>
        <v>6809.9999999999991</v>
      </c>
    </row>
    <row r="34" spans="1:23" x14ac:dyDescent="0.25">
      <c r="B34" s="129">
        <v>4.54</v>
      </c>
      <c r="C34" s="15"/>
      <c r="D34" s="68">
        <f t="shared" si="4"/>
        <v>0</v>
      </c>
      <c r="E34" s="578"/>
      <c r="F34" s="565">
        <f>D34</f>
        <v>0</v>
      </c>
      <c r="G34" s="563"/>
      <c r="H34" s="564"/>
      <c r="I34" s="758">
        <f t="shared" si="8"/>
        <v>172.52000000000015</v>
      </c>
      <c r="J34" s="576">
        <f t="shared" si="9"/>
        <v>38</v>
      </c>
      <c r="K34" s="595">
        <f t="shared" si="6"/>
        <v>0</v>
      </c>
      <c r="N34" s="129">
        <v>4.54</v>
      </c>
      <c r="O34" s="15">
        <v>5</v>
      </c>
      <c r="P34" s="68">
        <f t="shared" si="10"/>
        <v>22.7</v>
      </c>
      <c r="Q34" s="578">
        <v>45126</v>
      </c>
      <c r="R34" s="565">
        <f>P34</f>
        <v>22.7</v>
      </c>
      <c r="S34" s="563" t="s">
        <v>644</v>
      </c>
      <c r="T34" s="564">
        <v>50</v>
      </c>
      <c r="U34" s="758">
        <f t="shared" si="12"/>
        <v>3409.5400000000022</v>
      </c>
      <c r="V34" s="576">
        <f t="shared" si="13"/>
        <v>751</v>
      </c>
      <c r="W34" s="595">
        <f t="shared" si="7"/>
        <v>1135</v>
      </c>
    </row>
    <row r="35" spans="1:23" x14ac:dyDescent="0.25">
      <c r="B35" s="129">
        <v>4.54</v>
      </c>
      <c r="C35" s="15">
        <v>5</v>
      </c>
      <c r="D35" s="935">
        <f t="shared" si="4"/>
        <v>22.7</v>
      </c>
      <c r="E35" s="1478">
        <v>45110</v>
      </c>
      <c r="F35" s="938">
        <f t="shared" ref="F35:F109" si="14">D35</f>
        <v>22.7</v>
      </c>
      <c r="G35" s="940" t="s">
        <v>495</v>
      </c>
      <c r="H35" s="937">
        <v>50</v>
      </c>
      <c r="I35" s="1479">
        <f t="shared" si="8"/>
        <v>149.82000000000016</v>
      </c>
      <c r="J35" s="576">
        <f t="shared" si="9"/>
        <v>33</v>
      </c>
      <c r="K35" s="595">
        <f t="shared" si="6"/>
        <v>1135</v>
      </c>
      <c r="N35" s="129">
        <v>4.54</v>
      </c>
      <c r="O35" s="15">
        <v>50</v>
      </c>
      <c r="P35" s="68">
        <f t="shared" si="10"/>
        <v>227</v>
      </c>
      <c r="Q35" s="578">
        <v>45128</v>
      </c>
      <c r="R35" s="565">
        <f t="shared" ref="R35:R109" si="15">P35</f>
        <v>227</v>
      </c>
      <c r="S35" s="563" t="s">
        <v>658</v>
      </c>
      <c r="T35" s="564">
        <v>50</v>
      </c>
      <c r="U35" s="758">
        <f t="shared" si="12"/>
        <v>3182.5400000000022</v>
      </c>
      <c r="V35" s="576">
        <f t="shared" si="13"/>
        <v>701</v>
      </c>
      <c r="W35" s="595">
        <f t="shared" si="7"/>
        <v>11350</v>
      </c>
    </row>
    <row r="36" spans="1:23" x14ac:dyDescent="0.25">
      <c r="B36" s="129">
        <v>4.54</v>
      </c>
      <c r="C36" s="15"/>
      <c r="D36" s="935">
        <f t="shared" si="4"/>
        <v>0</v>
      </c>
      <c r="E36" s="1478"/>
      <c r="F36" s="938">
        <f t="shared" si="14"/>
        <v>0</v>
      </c>
      <c r="G36" s="940"/>
      <c r="H36" s="937"/>
      <c r="I36" s="1479">
        <f t="shared" si="8"/>
        <v>149.82000000000016</v>
      </c>
      <c r="J36" s="576">
        <f t="shared" si="9"/>
        <v>33</v>
      </c>
      <c r="K36" s="595">
        <f t="shared" si="6"/>
        <v>0</v>
      </c>
      <c r="N36" s="129">
        <v>4.54</v>
      </c>
      <c r="O36" s="15">
        <v>48</v>
      </c>
      <c r="P36" s="68">
        <f t="shared" si="10"/>
        <v>217.92000000000002</v>
      </c>
      <c r="Q36" s="578">
        <v>45128</v>
      </c>
      <c r="R36" s="565">
        <f t="shared" si="15"/>
        <v>217.92000000000002</v>
      </c>
      <c r="S36" s="563" t="s">
        <v>659</v>
      </c>
      <c r="T36" s="564">
        <v>50</v>
      </c>
      <c r="U36" s="758">
        <f t="shared" si="12"/>
        <v>2964.6200000000022</v>
      </c>
      <c r="V36" s="576">
        <f t="shared" si="13"/>
        <v>653</v>
      </c>
      <c r="W36" s="595">
        <f t="shared" si="7"/>
        <v>10896</v>
      </c>
    </row>
    <row r="37" spans="1:23" x14ac:dyDescent="0.25">
      <c r="A37" s="74"/>
      <c r="B37" s="129">
        <v>4.54</v>
      </c>
      <c r="C37" s="15"/>
      <c r="D37" s="935">
        <f t="shared" si="4"/>
        <v>0</v>
      </c>
      <c r="E37" s="1478"/>
      <c r="F37" s="938">
        <f t="shared" si="14"/>
        <v>0</v>
      </c>
      <c r="G37" s="940"/>
      <c r="H37" s="937"/>
      <c r="I37" s="1479">
        <f t="shared" si="8"/>
        <v>149.82000000000016</v>
      </c>
      <c r="J37" s="576">
        <f t="shared" si="9"/>
        <v>33</v>
      </c>
      <c r="K37" s="595">
        <f t="shared" si="6"/>
        <v>0</v>
      </c>
      <c r="M37" s="74"/>
      <c r="N37" s="129">
        <v>4.54</v>
      </c>
      <c r="O37" s="15">
        <v>5</v>
      </c>
      <c r="P37" s="68">
        <f t="shared" si="10"/>
        <v>22.7</v>
      </c>
      <c r="Q37" s="578">
        <v>45128</v>
      </c>
      <c r="R37" s="565">
        <f t="shared" si="15"/>
        <v>22.7</v>
      </c>
      <c r="S37" s="563" t="s">
        <v>661</v>
      </c>
      <c r="T37" s="564">
        <v>50</v>
      </c>
      <c r="U37" s="758">
        <f t="shared" si="12"/>
        <v>2941.9200000000023</v>
      </c>
      <c r="V37" s="576">
        <f t="shared" si="13"/>
        <v>648</v>
      </c>
      <c r="W37" s="595">
        <f t="shared" si="7"/>
        <v>1135</v>
      </c>
    </row>
    <row r="38" spans="1:23" x14ac:dyDescent="0.25">
      <c r="B38" s="129">
        <v>4.54</v>
      </c>
      <c r="C38" s="15">
        <v>33</v>
      </c>
      <c r="D38" s="935">
        <f t="shared" si="4"/>
        <v>149.82</v>
      </c>
      <c r="E38" s="1478"/>
      <c r="F38" s="938">
        <f t="shared" si="14"/>
        <v>149.82</v>
      </c>
      <c r="G38" s="940"/>
      <c r="H38" s="1487"/>
      <c r="I38" s="1488">
        <f t="shared" si="8"/>
        <v>0</v>
      </c>
      <c r="J38" s="1489">
        <f t="shared" si="9"/>
        <v>0</v>
      </c>
      <c r="K38" s="1490">
        <f t="shared" si="6"/>
        <v>0</v>
      </c>
      <c r="N38" s="129">
        <v>4.54</v>
      </c>
      <c r="O38" s="15">
        <v>70</v>
      </c>
      <c r="P38" s="68">
        <f t="shared" si="10"/>
        <v>317.8</v>
      </c>
      <c r="Q38" s="578">
        <v>45129</v>
      </c>
      <c r="R38" s="565">
        <f t="shared" si="15"/>
        <v>317.8</v>
      </c>
      <c r="S38" s="563" t="s">
        <v>671</v>
      </c>
      <c r="T38" s="564">
        <v>50</v>
      </c>
      <c r="U38" s="758">
        <f t="shared" si="12"/>
        <v>2624.1200000000022</v>
      </c>
      <c r="V38" s="576">
        <f t="shared" si="13"/>
        <v>578</v>
      </c>
      <c r="W38" s="595">
        <f t="shared" si="7"/>
        <v>15890</v>
      </c>
    </row>
    <row r="39" spans="1:23" x14ac:dyDescent="0.25">
      <c r="B39" s="129">
        <v>4.54</v>
      </c>
      <c r="C39" s="15"/>
      <c r="D39" s="935">
        <f t="shared" si="4"/>
        <v>0</v>
      </c>
      <c r="E39" s="939"/>
      <c r="F39" s="938">
        <f t="shared" si="14"/>
        <v>0</v>
      </c>
      <c r="G39" s="940"/>
      <c r="H39" s="1487"/>
      <c r="I39" s="1488">
        <f t="shared" si="8"/>
        <v>0</v>
      </c>
      <c r="J39" s="1489">
        <f t="shared" si="9"/>
        <v>0</v>
      </c>
      <c r="K39" s="1490">
        <f t="shared" si="6"/>
        <v>0</v>
      </c>
      <c r="N39" s="129">
        <v>4.54</v>
      </c>
      <c r="O39" s="15">
        <v>40</v>
      </c>
      <c r="P39" s="68">
        <f t="shared" si="10"/>
        <v>181.6</v>
      </c>
      <c r="Q39" s="645">
        <v>45131</v>
      </c>
      <c r="R39" s="565">
        <f t="shared" si="15"/>
        <v>181.6</v>
      </c>
      <c r="S39" s="563" t="s">
        <v>680</v>
      </c>
      <c r="T39" s="564">
        <v>50</v>
      </c>
      <c r="U39" s="758">
        <f t="shared" si="12"/>
        <v>2442.5200000000023</v>
      </c>
      <c r="V39" s="576">
        <f t="shared" si="13"/>
        <v>538</v>
      </c>
      <c r="W39" s="595">
        <f t="shared" si="7"/>
        <v>9080</v>
      </c>
    </row>
    <row r="40" spans="1:23" x14ac:dyDescent="0.25">
      <c r="B40" s="129">
        <v>4.54</v>
      </c>
      <c r="C40" s="15"/>
      <c r="D40" s="935">
        <f t="shared" si="4"/>
        <v>0</v>
      </c>
      <c r="E40" s="1480"/>
      <c r="F40" s="935">
        <f t="shared" si="14"/>
        <v>0</v>
      </c>
      <c r="G40" s="940"/>
      <c r="H40" s="1487"/>
      <c r="I40" s="1488">
        <f t="shared" si="8"/>
        <v>0</v>
      </c>
      <c r="J40" s="1489">
        <f t="shared" si="9"/>
        <v>0</v>
      </c>
      <c r="K40" s="1490">
        <f t="shared" si="6"/>
        <v>0</v>
      </c>
      <c r="N40" s="129">
        <v>4.54</v>
      </c>
      <c r="O40" s="15">
        <v>5</v>
      </c>
      <c r="P40" s="68">
        <f t="shared" si="10"/>
        <v>22.7</v>
      </c>
      <c r="Q40" s="186">
        <v>45131</v>
      </c>
      <c r="R40" s="68">
        <f t="shared" si="15"/>
        <v>22.7</v>
      </c>
      <c r="S40" s="563" t="s">
        <v>681</v>
      </c>
      <c r="T40" s="564">
        <v>50</v>
      </c>
      <c r="U40" s="758">
        <f t="shared" si="12"/>
        <v>2419.8200000000024</v>
      </c>
      <c r="V40" s="1225">
        <f t="shared" si="13"/>
        <v>533</v>
      </c>
      <c r="W40" s="59">
        <f t="shared" si="7"/>
        <v>1135</v>
      </c>
    </row>
    <row r="41" spans="1:23" x14ac:dyDescent="0.25">
      <c r="B41" s="129">
        <v>4.54</v>
      </c>
      <c r="C41" s="15"/>
      <c r="D41" s="935">
        <f t="shared" si="4"/>
        <v>0</v>
      </c>
      <c r="E41" s="1480"/>
      <c r="F41" s="935">
        <f t="shared" si="14"/>
        <v>0</v>
      </c>
      <c r="G41" s="940"/>
      <c r="H41" s="1487"/>
      <c r="I41" s="1488">
        <f t="shared" si="8"/>
        <v>0</v>
      </c>
      <c r="J41" s="1489">
        <f t="shared" si="9"/>
        <v>0</v>
      </c>
      <c r="K41" s="1490">
        <f t="shared" si="6"/>
        <v>0</v>
      </c>
      <c r="N41" s="129">
        <v>4.54</v>
      </c>
      <c r="O41" s="15">
        <v>30</v>
      </c>
      <c r="P41" s="68">
        <f t="shared" si="10"/>
        <v>136.19999999999999</v>
      </c>
      <c r="Q41" s="186">
        <v>45132</v>
      </c>
      <c r="R41" s="68">
        <f t="shared" si="15"/>
        <v>136.19999999999999</v>
      </c>
      <c r="S41" s="563" t="s">
        <v>685</v>
      </c>
      <c r="T41" s="564">
        <v>50</v>
      </c>
      <c r="U41" s="758">
        <f t="shared" si="12"/>
        <v>2283.6200000000026</v>
      </c>
      <c r="V41" s="1225">
        <f t="shared" si="13"/>
        <v>503</v>
      </c>
      <c r="W41" s="59">
        <f t="shared" si="7"/>
        <v>6809.9999999999991</v>
      </c>
    </row>
    <row r="42" spans="1:23" x14ac:dyDescent="0.25">
      <c r="B42" s="129">
        <v>4.54</v>
      </c>
      <c r="C42" s="15"/>
      <c r="D42" s="935">
        <f t="shared" si="4"/>
        <v>0</v>
      </c>
      <c r="E42" s="1480"/>
      <c r="F42" s="935">
        <f t="shared" si="14"/>
        <v>0</v>
      </c>
      <c r="G42" s="940"/>
      <c r="H42" s="937"/>
      <c r="I42" s="1479">
        <f t="shared" si="8"/>
        <v>0</v>
      </c>
      <c r="J42" s="576">
        <f t="shared" si="9"/>
        <v>0</v>
      </c>
      <c r="K42" s="59">
        <f t="shared" si="6"/>
        <v>0</v>
      </c>
      <c r="N42" s="129">
        <v>4.54</v>
      </c>
      <c r="O42" s="15">
        <v>1</v>
      </c>
      <c r="P42" s="68">
        <f t="shared" si="10"/>
        <v>4.54</v>
      </c>
      <c r="Q42" s="186">
        <v>45132</v>
      </c>
      <c r="R42" s="68">
        <f t="shared" si="15"/>
        <v>4.54</v>
      </c>
      <c r="S42" s="563" t="s">
        <v>694</v>
      </c>
      <c r="T42" s="564">
        <v>50</v>
      </c>
      <c r="U42" s="758">
        <f t="shared" si="12"/>
        <v>2279.0800000000027</v>
      </c>
      <c r="V42" s="576">
        <f t="shared" si="13"/>
        <v>502</v>
      </c>
      <c r="W42" s="59">
        <f t="shared" si="7"/>
        <v>227</v>
      </c>
    </row>
    <row r="43" spans="1:23" x14ac:dyDescent="0.25">
      <c r="B43" s="129">
        <v>4.54</v>
      </c>
      <c r="C43" s="15"/>
      <c r="D43" s="935">
        <f t="shared" si="4"/>
        <v>0</v>
      </c>
      <c r="E43" s="1480"/>
      <c r="F43" s="935">
        <f t="shared" si="14"/>
        <v>0</v>
      </c>
      <c r="G43" s="940"/>
      <c r="H43" s="937"/>
      <c r="I43" s="1479">
        <f t="shared" si="8"/>
        <v>0</v>
      </c>
      <c r="J43" s="576">
        <f>J42-C43</f>
        <v>0</v>
      </c>
      <c r="K43" s="595">
        <f t="shared" si="6"/>
        <v>0</v>
      </c>
      <c r="N43" s="129">
        <v>4.54</v>
      </c>
      <c r="O43" s="15">
        <v>3</v>
      </c>
      <c r="P43" s="68">
        <f t="shared" si="10"/>
        <v>13.620000000000001</v>
      </c>
      <c r="Q43" s="186">
        <v>45133</v>
      </c>
      <c r="R43" s="68">
        <f t="shared" si="15"/>
        <v>13.620000000000001</v>
      </c>
      <c r="S43" s="563" t="s">
        <v>696</v>
      </c>
      <c r="T43" s="564">
        <v>50</v>
      </c>
      <c r="U43" s="758">
        <f t="shared" si="12"/>
        <v>2265.4600000000028</v>
      </c>
      <c r="V43" s="576">
        <f>V42-O43</f>
        <v>499</v>
      </c>
      <c r="W43" s="595">
        <f t="shared" si="7"/>
        <v>681</v>
      </c>
    </row>
    <row r="44" spans="1:23" x14ac:dyDescent="0.25">
      <c r="B44" s="129">
        <v>4.54</v>
      </c>
      <c r="C44" s="15"/>
      <c r="D44" s="935">
        <f t="shared" si="4"/>
        <v>0</v>
      </c>
      <c r="E44" s="1480"/>
      <c r="F44" s="935">
        <f t="shared" si="14"/>
        <v>0</v>
      </c>
      <c r="G44" s="494"/>
      <c r="H44" s="937"/>
      <c r="I44" s="1479">
        <f t="shared" si="8"/>
        <v>0</v>
      </c>
      <c r="J44" s="576">
        <f t="shared" ref="J44:J107" si="16">J43-C44</f>
        <v>0</v>
      </c>
      <c r="K44" s="59">
        <f t="shared" si="6"/>
        <v>0</v>
      </c>
      <c r="N44" s="129">
        <v>4.54</v>
      </c>
      <c r="O44" s="15">
        <v>30</v>
      </c>
      <c r="P44" s="68">
        <f t="shared" si="10"/>
        <v>136.19999999999999</v>
      </c>
      <c r="Q44" s="186">
        <v>45134</v>
      </c>
      <c r="R44" s="68">
        <f t="shared" si="15"/>
        <v>136.19999999999999</v>
      </c>
      <c r="S44" s="69" t="s">
        <v>703</v>
      </c>
      <c r="T44" s="564">
        <v>50</v>
      </c>
      <c r="U44" s="758">
        <f t="shared" si="12"/>
        <v>2129.2600000000029</v>
      </c>
      <c r="V44" s="576">
        <f t="shared" ref="V44:V107" si="17">V43-O44</f>
        <v>469</v>
      </c>
      <c r="W44" s="59">
        <f t="shared" si="7"/>
        <v>6809.9999999999991</v>
      </c>
    </row>
    <row r="45" spans="1:23" x14ac:dyDescent="0.25">
      <c r="B45" s="129">
        <v>4.54</v>
      </c>
      <c r="C45" s="15"/>
      <c r="D45" s="935">
        <f t="shared" si="4"/>
        <v>0</v>
      </c>
      <c r="E45" s="1480"/>
      <c r="F45" s="935">
        <f t="shared" si="14"/>
        <v>0</v>
      </c>
      <c r="G45" s="494"/>
      <c r="H45" s="937"/>
      <c r="I45" s="1479">
        <f t="shared" si="8"/>
        <v>0</v>
      </c>
      <c r="J45" s="576">
        <f t="shared" si="16"/>
        <v>0</v>
      </c>
      <c r="K45" s="59">
        <f t="shared" si="6"/>
        <v>0</v>
      </c>
      <c r="N45" s="129">
        <v>4.54</v>
      </c>
      <c r="O45" s="15">
        <v>40</v>
      </c>
      <c r="P45" s="68">
        <f t="shared" si="10"/>
        <v>181.6</v>
      </c>
      <c r="Q45" s="186">
        <v>45135</v>
      </c>
      <c r="R45" s="68">
        <f t="shared" si="15"/>
        <v>181.6</v>
      </c>
      <c r="S45" s="69" t="s">
        <v>717</v>
      </c>
      <c r="T45" s="564">
        <v>50</v>
      </c>
      <c r="U45" s="758">
        <f t="shared" si="12"/>
        <v>1947.660000000003</v>
      </c>
      <c r="V45" s="576">
        <f t="shared" si="17"/>
        <v>429</v>
      </c>
      <c r="W45" s="59">
        <f t="shared" si="7"/>
        <v>9080</v>
      </c>
    </row>
    <row r="46" spans="1:23" x14ac:dyDescent="0.25">
      <c r="B46" s="129">
        <v>4.54</v>
      </c>
      <c r="C46" s="15"/>
      <c r="D46" s="935">
        <f t="shared" si="4"/>
        <v>0</v>
      </c>
      <c r="E46" s="1480"/>
      <c r="F46" s="935">
        <f t="shared" si="14"/>
        <v>0</v>
      </c>
      <c r="G46" s="494"/>
      <c r="H46" s="937"/>
      <c r="I46" s="1479">
        <f t="shared" si="8"/>
        <v>0</v>
      </c>
      <c r="J46" s="576">
        <f t="shared" si="16"/>
        <v>0</v>
      </c>
      <c r="K46" s="59">
        <f t="shared" si="6"/>
        <v>0</v>
      </c>
      <c r="N46" s="129">
        <v>4.54</v>
      </c>
      <c r="O46" s="15">
        <v>12</v>
      </c>
      <c r="P46" s="68">
        <f t="shared" si="10"/>
        <v>54.480000000000004</v>
      </c>
      <c r="Q46" s="186">
        <v>45136</v>
      </c>
      <c r="R46" s="68">
        <f t="shared" si="15"/>
        <v>54.480000000000004</v>
      </c>
      <c r="S46" s="69" t="s">
        <v>723</v>
      </c>
      <c r="T46" s="564">
        <v>50</v>
      </c>
      <c r="U46" s="758">
        <f t="shared" si="12"/>
        <v>1893.180000000003</v>
      </c>
      <c r="V46" s="576">
        <f t="shared" si="17"/>
        <v>417</v>
      </c>
      <c r="W46" s="59">
        <f t="shared" si="7"/>
        <v>2724</v>
      </c>
    </row>
    <row r="47" spans="1:23" x14ac:dyDescent="0.25">
      <c r="B47" s="129">
        <v>4.54</v>
      </c>
      <c r="C47" s="15"/>
      <c r="D47" s="935">
        <f t="shared" si="4"/>
        <v>0</v>
      </c>
      <c r="E47" s="1480"/>
      <c r="F47" s="935">
        <f t="shared" si="14"/>
        <v>0</v>
      </c>
      <c r="G47" s="494"/>
      <c r="H47" s="937"/>
      <c r="I47" s="1479">
        <f t="shared" si="8"/>
        <v>0</v>
      </c>
      <c r="J47" s="576">
        <f t="shared" si="16"/>
        <v>0</v>
      </c>
      <c r="K47" s="59">
        <f t="shared" si="6"/>
        <v>0</v>
      </c>
      <c r="N47" s="129">
        <v>4.54</v>
      </c>
      <c r="O47" s="15">
        <v>48</v>
      </c>
      <c r="P47" s="68">
        <f t="shared" si="10"/>
        <v>217.92000000000002</v>
      </c>
      <c r="Q47" s="186">
        <v>45136</v>
      </c>
      <c r="R47" s="68">
        <f t="shared" si="15"/>
        <v>217.92000000000002</v>
      </c>
      <c r="S47" s="69" t="s">
        <v>723</v>
      </c>
      <c r="T47" s="564">
        <v>50</v>
      </c>
      <c r="U47" s="758">
        <f t="shared" si="12"/>
        <v>1675.2600000000029</v>
      </c>
      <c r="V47" s="576">
        <f t="shared" si="17"/>
        <v>369</v>
      </c>
      <c r="W47" s="59">
        <f t="shared" si="7"/>
        <v>10896</v>
      </c>
    </row>
    <row r="48" spans="1:23" x14ac:dyDescent="0.25">
      <c r="B48" s="129">
        <v>4.54</v>
      </c>
      <c r="C48" s="15"/>
      <c r="D48" s="935">
        <f t="shared" si="4"/>
        <v>0</v>
      </c>
      <c r="E48" s="1480"/>
      <c r="F48" s="935">
        <f t="shared" si="14"/>
        <v>0</v>
      </c>
      <c r="G48" s="494"/>
      <c r="H48" s="495"/>
      <c r="I48" s="1479">
        <f t="shared" si="8"/>
        <v>0</v>
      </c>
      <c r="J48" s="1070">
        <f t="shared" si="16"/>
        <v>0</v>
      </c>
      <c r="K48" s="59">
        <f t="shared" si="6"/>
        <v>0</v>
      </c>
      <c r="N48" s="129">
        <v>4.54</v>
      </c>
      <c r="O48" s="15">
        <v>2</v>
      </c>
      <c r="P48" s="68">
        <f t="shared" si="10"/>
        <v>9.08</v>
      </c>
      <c r="Q48" s="186">
        <v>45136</v>
      </c>
      <c r="R48" s="68">
        <f t="shared" si="15"/>
        <v>9.08</v>
      </c>
      <c r="S48" s="69" t="s">
        <v>724</v>
      </c>
      <c r="T48" s="70">
        <v>50</v>
      </c>
      <c r="U48" s="758">
        <f t="shared" si="12"/>
        <v>1666.180000000003</v>
      </c>
      <c r="V48" s="1225">
        <f t="shared" si="17"/>
        <v>367</v>
      </c>
      <c r="W48" s="59">
        <f t="shared" si="7"/>
        <v>454</v>
      </c>
    </row>
    <row r="49" spans="1:23" x14ac:dyDescent="0.25">
      <c r="B49" s="129">
        <v>4.54</v>
      </c>
      <c r="C49" s="15"/>
      <c r="D49" s="935">
        <f t="shared" si="4"/>
        <v>0</v>
      </c>
      <c r="E49" s="1480"/>
      <c r="F49" s="935">
        <f t="shared" si="14"/>
        <v>0</v>
      </c>
      <c r="G49" s="494"/>
      <c r="H49" s="495"/>
      <c r="I49" s="1479">
        <f t="shared" si="8"/>
        <v>0</v>
      </c>
      <c r="J49" s="1070">
        <f t="shared" si="16"/>
        <v>0</v>
      </c>
      <c r="K49" s="59">
        <f t="shared" si="6"/>
        <v>0</v>
      </c>
      <c r="N49" s="129">
        <v>4.54</v>
      </c>
      <c r="O49" s="15">
        <v>5</v>
      </c>
      <c r="P49" s="68">
        <f t="shared" si="10"/>
        <v>22.7</v>
      </c>
      <c r="Q49" s="186">
        <v>45136</v>
      </c>
      <c r="R49" s="68">
        <f t="shared" si="15"/>
        <v>22.7</v>
      </c>
      <c r="S49" s="69" t="s">
        <v>731</v>
      </c>
      <c r="T49" s="70">
        <v>50</v>
      </c>
      <c r="U49" s="758">
        <f t="shared" si="12"/>
        <v>1643.480000000003</v>
      </c>
      <c r="V49" s="1225">
        <f t="shared" si="17"/>
        <v>362</v>
      </c>
      <c r="W49" s="59">
        <f t="shared" si="7"/>
        <v>1135</v>
      </c>
    </row>
    <row r="50" spans="1:23" x14ac:dyDescent="0.25">
      <c r="B50" s="129">
        <v>4.54</v>
      </c>
      <c r="C50" s="15"/>
      <c r="D50" s="935">
        <f t="shared" si="4"/>
        <v>0</v>
      </c>
      <c r="E50" s="1480"/>
      <c r="F50" s="935">
        <f t="shared" si="14"/>
        <v>0</v>
      </c>
      <c r="G50" s="494"/>
      <c r="H50" s="495"/>
      <c r="I50" s="1479">
        <f t="shared" si="8"/>
        <v>0</v>
      </c>
      <c r="J50" s="1070">
        <f t="shared" si="16"/>
        <v>0</v>
      </c>
      <c r="K50" s="59">
        <f t="shared" si="6"/>
        <v>0</v>
      </c>
      <c r="N50" s="129">
        <v>4.54</v>
      </c>
      <c r="O50" s="15"/>
      <c r="P50" s="68">
        <f t="shared" si="10"/>
        <v>0</v>
      </c>
      <c r="Q50" s="186"/>
      <c r="R50" s="68">
        <f t="shared" si="15"/>
        <v>0</v>
      </c>
      <c r="S50" s="69"/>
      <c r="T50" s="70"/>
      <c r="U50" s="758">
        <f t="shared" si="12"/>
        <v>1643.480000000003</v>
      </c>
      <c r="V50" s="1225">
        <f t="shared" si="17"/>
        <v>362</v>
      </c>
      <c r="W50" s="59">
        <f t="shared" si="7"/>
        <v>0</v>
      </c>
    </row>
    <row r="51" spans="1:23" x14ac:dyDescent="0.25">
      <c r="B51" s="129">
        <v>4.54</v>
      </c>
      <c r="C51" s="15"/>
      <c r="D51" s="935">
        <f t="shared" si="4"/>
        <v>0</v>
      </c>
      <c r="E51" s="1480"/>
      <c r="F51" s="935">
        <f t="shared" si="14"/>
        <v>0</v>
      </c>
      <c r="G51" s="494"/>
      <c r="H51" s="495"/>
      <c r="I51" s="1479">
        <f t="shared" si="8"/>
        <v>0</v>
      </c>
      <c r="J51" s="1070">
        <f t="shared" si="16"/>
        <v>0</v>
      </c>
      <c r="K51" s="59">
        <f t="shared" si="6"/>
        <v>0</v>
      </c>
      <c r="N51" s="129">
        <v>4.54</v>
      </c>
      <c r="O51" s="15"/>
      <c r="P51" s="68">
        <f t="shared" si="10"/>
        <v>0</v>
      </c>
      <c r="Q51" s="186"/>
      <c r="R51" s="68">
        <f t="shared" si="15"/>
        <v>0</v>
      </c>
      <c r="S51" s="69"/>
      <c r="T51" s="70"/>
      <c r="U51" s="758">
        <f t="shared" si="12"/>
        <v>1643.480000000003</v>
      </c>
      <c r="V51" s="1225">
        <f t="shared" si="17"/>
        <v>362</v>
      </c>
      <c r="W51" s="59">
        <f t="shared" si="7"/>
        <v>0</v>
      </c>
    </row>
    <row r="52" spans="1:23" x14ac:dyDescent="0.25">
      <c r="B52" s="129">
        <v>4.54</v>
      </c>
      <c r="C52" s="15"/>
      <c r="D52" s="935">
        <f t="shared" si="4"/>
        <v>0</v>
      </c>
      <c r="E52" s="1480"/>
      <c r="F52" s="935">
        <f t="shared" si="14"/>
        <v>0</v>
      </c>
      <c r="G52" s="494"/>
      <c r="H52" s="495"/>
      <c r="I52" s="1479">
        <f t="shared" si="8"/>
        <v>0</v>
      </c>
      <c r="J52" s="576">
        <f t="shared" si="16"/>
        <v>0</v>
      </c>
      <c r="K52" s="59">
        <f t="shared" si="6"/>
        <v>0</v>
      </c>
      <c r="N52" s="129">
        <v>4.54</v>
      </c>
      <c r="O52" s="15"/>
      <c r="P52" s="68">
        <f t="shared" si="10"/>
        <v>0</v>
      </c>
      <c r="Q52" s="186"/>
      <c r="R52" s="68">
        <f t="shared" si="15"/>
        <v>0</v>
      </c>
      <c r="S52" s="69"/>
      <c r="T52" s="70"/>
      <c r="U52" s="758">
        <f t="shared" si="12"/>
        <v>1643.480000000003</v>
      </c>
      <c r="V52" s="576">
        <f t="shared" si="17"/>
        <v>362</v>
      </c>
      <c r="W52" s="59">
        <f t="shared" si="7"/>
        <v>0</v>
      </c>
    </row>
    <row r="53" spans="1:23" x14ac:dyDescent="0.25">
      <c r="B53" s="129">
        <v>4.54</v>
      </c>
      <c r="C53" s="15"/>
      <c r="D53" s="935">
        <f t="shared" si="4"/>
        <v>0</v>
      </c>
      <c r="E53" s="1480"/>
      <c r="F53" s="935">
        <f t="shared" si="14"/>
        <v>0</v>
      </c>
      <c r="G53" s="494"/>
      <c r="H53" s="495"/>
      <c r="I53" s="1479">
        <f t="shared" si="8"/>
        <v>0</v>
      </c>
      <c r="J53" s="576">
        <f t="shared" si="16"/>
        <v>0</v>
      </c>
      <c r="K53" s="59">
        <f t="shared" si="6"/>
        <v>0</v>
      </c>
      <c r="N53" s="129">
        <v>4.54</v>
      </c>
      <c r="O53" s="15"/>
      <c r="P53" s="68">
        <f t="shared" si="10"/>
        <v>0</v>
      </c>
      <c r="Q53" s="186"/>
      <c r="R53" s="68">
        <f t="shared" si="15"/>
        <v>0</v>
      </c>
      <c r="S53" s="69"/>
      <c r="T53" s="70"/>
      <c r="U53" s="758">
        <f t="shared" si="12"/>
        <v>1643.480000000003</v>
      </c>
      <c r="V53" s="576">
        <f t="shared" si="17"/>
        <v>362</v>
      </c>
      <c r="W53" s="59">
        <f t="shared" si="7"/>
        <v>0</v>
      </c>
    </row>
    <row r="54" spans="1:23" x14ac:dyDescent="0.25">
      <c r="B54" s="129">
        <v>4.54</v>
      </c>
      <c r="C54" s="15"/>
      <c r="D54" s="935">
        <f t="shared" si="4"/>
        <v>0</v>
      </c>
      <c r="E54" s="1480"/>
      <c r="F54" s="935">
        <f t="shared" si="14"/>
        <v>0</v>
      </c>
      <c r="G54" s="494"/>
      <c r="H54" s="495"/>
      <c r="I54" s="1479">
        <f t="shared" si="8"/>
        <v>0</v>
      </c>
      <c r="J54" s="1070">
        <f t="shared" si="16"/>
        <v>0</v>
      </c>
      <c r="K54" s="59">
        <f t="shared" si="6"/>
        <v>0</v>
      </c>
      <c r="N54" s="129">
        <v>4.54</v>
      </c>
      <c r="O54" s="15"/>
      <c r="P54" s="68">
        <f t="shared" si="10"/>
        <v>0</v>
      </c>
      <c r="Q54" s="186"/>
      <c r="R54" s="68">
        <f t="shared" si="15"/>
        <v>0</v>
      </c>
      <c r="S54" s="69"/>
      <c r="T54" s="70"/>
      <c r="U54" s="758">
        <f t="shared" si="12"/>
        <v>1643.480000000003</v>
      </c>
      <c r="V54" s="1225">
        <f t="shared" si="17"/>
        <v>362</v>
      </c>
      <c r="W54" s="59">
        <f t="shared" si="7"/>
        <v>0</v>
      </c>
    </row>
    <row r="55" spans="1:23" x14ac:dyDescent="0.25">
      <c r="A55" s="581"/>
      <c r="B55" s="129">
        <v>4.54</v>
      </c>
      <c r="C55" s="624"/>
      <c r="D55" s="938">
        <f t="shared" si="4"/>
        <v>0</v>
      </c>
      <c r="E55" s="939"/>
      <c r="F55" s="938">
        <f t="shared" si="14"/>
        <v>0</v>
      </c>
      <c r="G55" s="940"/>
      <c r="H55" s="937"/>
      <c r="I55" s="1479">
        <f t="shared" si="8"/>
        <v>0</v>
      </c>
      <c r="J55" s="1070">
        <f t="shared" si="16"/>
        <v>0</v>
      </c>
      <c r="K55" s="59">
        <f t="shared" si="6"/>
        <v>0</v>
      </c>
      <c r="M55" s="581"/>
      <c r="N55" s="129">
        <v>4.54</v>
      </c>
      <c r="O55" s="624"/>
      <c r="P55" s="565">
        <f t="shared" si="10"/>
        <v>0</v>
      </c>
      <c r="Q55" s="645"/>
      <c r="R55" s="565">
        <f t="shared" si="15"/>
        <v>0</v>
      </c>
      <c r="S55" s="563"/>
      <c r="T55" s="564"/>
      <c r="U55" s="758">
        <f t="shared" si="12"/>
        <v>1643.480000000003</v>
      </c>
      <c r="V55" s="1225">
        <f t="shared" si="17"/>
        <v>362</v>
      </c>
      <c r="W55" s="59">
        <f t="shared" si="7"/>
        <v>0</v>
      </c>
    </row>
    <row r="56" spans="1:23" x14ac:dyDescent="0.25">
      <c r="A56" s="594"/>
      <c r="B56" s="129">
        <v>4.54</v>
      </c>
      <c r="C56" s="624"/>
      <c r="D56" s="938">
        <f t="shared" si="4"/>
        <v>0</v>
      </c>
      <c r="E56" s="939"/>
      <c r="F56" s="938">
        <f t="shared" si="14"/>
        <v>0</v>
      </c>
      <c r="G56" s="940"/>
      <c r="H56" s="937"/>
      <c r="I56" s="1479">
        <f t="shared" si="8"/>
        <v>0</v>
      </c>
      <c r="J56" s="1070">
        <f t="shared" si="16"/>
        <v>0</v>
      </c>
      <c r="K56" s="59">
        <f t="shared" si="6"/>
        <v>0</v>
      </c>
      <c r="M56" s="594"/>
      <c r="N56" s="129">
        <v>4.54</v>
      </c>
      <c r="O56" s="624"/>
      <c r="P56" s="565">
        <f t="shared" si="10"/>
        <v>0</v>
      </c>
      <c r="Q56" s="645"/>
      <c r="R56" s="565">
        <f t="shared" si="15"/>
        <v>0</v>
      </c>
      <c r="S56" s="563"/>
      <c r="T56" s="564"/>
      <c r="U56" s="758">
        <f t="shared" si="12"/>
        <v>1643.480000000003</v>
      </c>
      <c r="V56" s="1225">
        <f t="shared" si="17"/>
        <v>362</v>
      </c>
      <c r="W56" s="59">
        <f t="shared" si="7"/>
        <v>0</v>
      </c>
    </row>
    <row r="57" spans="1:23" x14ac:dyDescent="0.25">
      <c r="B57" s="129">
        <v>4.54</v>
      </c>
      <c r="C57" s="15"/>
      <c r="D57" s="935">
        <f t="shared" si="4"/>
        <v>0</v>
      </c>
      <c r="E57" s="1480"/>
      <c r="F57" s="935">
        <f t="shared" si="14"/>
        <v>0</v>
      </c>
      <c r="G57" s="494"/>
      <c r="H57" s="495"/>
      <c r="I57" s="1479">
        <f t="shared" si="8"/>
        <v>0</v>
      </c>
      <c r="J57" s="1070">
        <f t="shared" si="16"/>
        <v>0</v>
      </c>
      <c r="K57" s="59">
        <f t="shared" si="6"/>
        <v>0</v>
      </c>
      <c r="N57" s="129">
        <v>4.54</v>
      </c>
      <c r="O57" s="15"/>
      <c r="P57" s="801">
        <f t="shared" si="10"/>
        <v>0</v>
      </c>
      <c r="Q57" s="1296"/>
      <c r="R57" s="801">
        <f t="shared" si="15"/>
        <v>0</v>
      </c>
      <c r="S57" s="524"/>
      <c r="T57" s="358"/>
      <c r="U57" s="1295">
        <f t="shared" si="12"/>
        <v>1643.480000000003</v>
      </c>
      <c r="V57" s="1225">
        <f t="shared" si="17"/>
        <v>362</v>
      </c>
      <c r="W57" s="59">
        <f t="shared" si="7"/>
        <v>0</v>
      </c>
    </row>
    <row r="58" spans="1:23" x14ac:dyDescent="0.25">
      <c r="B58" s="129">
        <v>4.54</v>
      </c>
      <c r="C58" s="15"/>
      <c r="D58" s="935">
        <f t="shared" si="4"/>
        <v>0</v>
      </c>
      <c r="E58" s="1480"/>
      <c r="F58" s="935">
        <f t="shared" si="14"/>
        <v>0</v>
      </c>
      <c r="G58" s="494"/>
      <c r="H58" s="495"/>
      <c r="I58" s="1479">
        <f t="shared" si="8"/>
        <v>0</v>
      </c>
      <c r="J58" s="1070">
        <f t="shared" si="16"/>
        <v>0</v>
      </c>
      <c r="K58" s="59">
        <f t="shared" si="6"/>
        <v>0</v>
      </c>
      <c r="N58" s="129">
        <v>4.54</v>
      </c>
      <c r="O58" s="15"/>
      <c r="P58" s="801">
        <f t="shared" si="10"/>
        <v>0</v>
      </c>
      <c r="Q58" s="1296"/>
      <c r="R58" s="801">
        <f t="shared" si="15"/>
        <v>0</v>
      </c>
      <c r="S58" s="524"/>
      <c r="T58" s="358"/>
      <c r="U58" s="1295">
        <f t="shared" si="12"/>
        <v>1643.480000000003</v>
      </c>
      <c r="V58" s="1225">
        <f t="shared" si="17"/>
        <v>362</v>
      </c>
      <c r="W58" s="59">
        <f t="shared" si="7"/>
        <v>0</v>
      </c>
    </row>
    <row r="59" spans="1:23" x14ac:dyDescent="0.25">
      <c r="B59" s="129">
        <v>4.54</v>
      </c>
      <c r="C59" s="15"/>
      <c r="D59" s="935">
        <f t="shared" si="4"/>
        <v>0</v>
      </c>
      <c r="E59" s="1480"/>
      <c r="F59" s="935">
        <f t="shared" si="14"/>
        <v>0</v>
      </c>
      <c r="G59" s="494"/>
      <c r="H59" s="495"/>
      <c r="I59" s="1479">
        <f t="shared" si="8"/>
        <v>0</v>
      </c>
      <c r="J59" s="1070">
        <f t="shared" si="16"/>
        <v>0</v>
      </c>
      <c r="K59" s="59">
        <f t="shared" si="6"/>
        <v>0</v>
      </c>
      <c r="N59" s="129">
        <v>4.54</v>
      </c>
      <c r="O59" s="15"/>
      <c r="P59" s="801">
        <f t="shared" si="10"/>
        <v>0</v>
      </c>
      <c r="Q59" s="1296"/>
      <c r="R59" s="801">
        <f t="shared" si="15"/>
        <v>0</v>
      </c>
      <c r="S59" s="524"/>
      <c r="T59" s="358"/>
      <c r="U59" s="1295">
        <f t="shared" si="12"/>
        <v>1643.480000000003</v>
      </c>
      <c r="V59" s="1225">
        <f t="shared" si="17"/>
        <v>362</v>
      </c>
      <c r="W59" s="59">
        <f t="shared" si="7"/>
        <v>0</v>
      </c>
    </row>
    <row r="60" spans="1:23" x14ac:dyDescent="0.25">
      <c r="B60" s="129">
        <v>4.54</v>
      </c>
      <c r="C60" s="15"/>
      <c r="D60" s="935">
        <f t="shared" si="4"/>
        <v>0</v>
      </c>
      <c r="E60" s="1480"/>
      <c r="F60" s="935">
        <f t="shared" si="14"/>
        <v>0</v>
      </c>
      <c r="G60" s="494"/>
      <c r="H60" s="495"/>
      <c r="I60" s="1479">
        <f t="shared" si="8"/>
        <v>0</v>
      </c>
      <c r="J60" s="1070">
        <f t="shared" si="16"/>
        <v>0</v>
      </c>
      <c r="K60" s="59">
        <f t="shared" si="6"/>
        <v>0</v>
      </c>
      <c r="N60" s="129">
        <v>4.54</v>
      </c>
      <c r="O60" s="15"/>
      <c r="P60" s="801">
        <f t="shared" si="10"/>
        <v>0</v>
      </c>
      <c r="Q60" s="1296"/>
      <c r="R60" s="801">
        <f t="shared" si="15"/>
        <v>0</v>
      </c>
      <c r="S60" s="524"/>
      <c r="T60" s="358"/>
      <c r="U60" s="1295">
        <f t="shared" si="12"/>
        <v>1643.480000000003</v>
      </c>
      <c r="V60" s="1225">
        <f t="shared" si="17"/>
        <v>362</v>
      </c>
      <c r="W60" s="59">
        <f t="shared" si="7"/>
        <v>0</v>
      </c>
    </row>
    <row r="61" spans="1:23" x14ac:dyDescent="0.25">
      <c r="B61" s="129">
        <v>4.54</v>
      </c>
      <c r="C61" s="15"/>
      <c r="D61" s="935">
        <f t="shared" si="4"/>
        <v>0</v>
      </c>
      <c r="E61" s="1480"/>
      <c r="F61" s="935">
        <f t="shared" si="14"/>
        <v>0</v>
      </c>
      <c r="G61" s="494"/>
      <c r="H61" s="495"/>
      <c r="I61" s="1479">
        <f t="shared" si="8"/>
        <v>0</v>
      </c>
      <c r="J61" s="1070">
        <f t="shared" si="16"/>
        <v>0</v>
      </c>
      <c r="K61" s="59">
        <f t="shared" si="6"/>
        <v>0</v>
      </c>
      <c r="N61" s="129">
        <v>4.54</v>
      </c>
      <c r="O61" s="15"/>
      <c r="P61" s="801">
        <f t="shared" si="10"/>
        <v>0</v>
      </c>
      <c r="Q61" s="1296"/>
      <c r="R61" s="801">
        <f t="shared" si="15"/>
        <v>0</v>
      </c>
      <c r="S61" s="524"/>
      <c r="T61" s="358"/>
      <c r="U61" s="1295">
        <f t="shared" si="12"/>
        <v>1643.480000000003</v>
      </c>
      <c r="V61" s="1225">
        <f t="shared" si="17"/>
        <v>362</v>
      </c>
      <c r="W61" s="59">
        <f t="shared" si="7"/>
        <v>0</v>
      </c>
    </row>
    <row r="62" spans="1:23" x14ac:dyDescent="0.25">
      <c r="B62" s="129">
        <v>4.54</v>
      </c>
      <c r="C62" s="15"/>
      <c r="D62" s="935">
        <f t="shared" si="4"/>
        <v>0</v>
      </c>
      <c r="E62" s="1480"/>
      <c r="F62" s="935">
        <f t="shared" si="14"/>
        <v>0</v>
      </c>
      <c r="G62" s="494"/>
      <c r="H62" s="495"/>
      <c r="I62" s="1479">
        <f t="shared" si="8"/>
        <v>0</v>
      </c>
      <c r="J62" s="1070">
        <f t="shared" si="16"/>
        <v>0</v>
      </c>
      <c r="K62" s="59">
        <f t="shared" si="6"/>
        <v>0</v>
      </c>
      <c r="N62" s="129">
        <v>4.54</v>
      </c>
      <c r="O62" s="15"/>
      <c r="P62" s="801">
        <f t="shared" si="10"/>
        <v>0</v>
      </c>
      <c r="Q62" s="1296"/>
      <c r="R62" s="801">
        <f t="shared" si="15"/>
        <v>0</v>
      </c>
      <c r="S62" s="524"/>
      <c r="T62" s="358"/>
      <c r="U62" s="1295">
        <f t="shared" si="12"/>
        <v>1643.480000000003</v>
      </c>
      <c r="V62" s="1225">
        <f t="shared" si="17"/>
        <v>362</v>
      </c>
      <c r="W62" s="59">
        <f t="shared" si="7"/>
        <v>0</v>
      </c>
    </row>
    <row r="63" spans="1:23" x14ac:dyDescent="0.25">
      <c r="B63" s="129">
        <v>4.54</v>
      </c>
      <c r="C63" s="15"/>
      <c r="D63" s="935">
        <f t="shared" si="4"/>
        <v>0</v>
      </c>
      <c r="E63" s="1480"/>
      <c r="F63" s="935">
        <f t="shared" si="14"/>
        <v>0</v>
      </c>
      <c r="G63" s="494"/>
      <c r="H63" s="495"/>
      <c r="I63" s="1479">
        <f t="shared" si="8"/>
        <v>0</v>
      </c>
      <c r="J63" s="1070">
        <f t="shared" si="16"/>
        <v>0</v>
      </c>
      <c r="K63" s="59">
        <f t="shared" si="6"/>
        <v>0</v>
      </c>
      <c r="N63" s="129">
        <v>4.54</v>
      </c>
      <c r="O63" s="15"/>
      <c r="P63" s="801">
        <f t="shared" si="10"/>
        <v>0</v>
      </c>
      <c r="Q63" s="1296"/>
      <c r="R63" s="801">
        <f t="shared" si="15"/>
        <v>0</v>
      </c>
      <c r="S63" s="524"/>
      <c r="T63" s="358"/>
      <c r="U63" s="1295">
        <f t="shared" si="12"/>
        <v>1643.480000000003</v>
      </c>
      <c r="V63" s="1225">
        <f t="shared" si="17"/>
        <v>362</v>
      </c>
      <c r="W63" s="59">
        <f t="shared" si="7"/>
        <v>0</v>
      </c>
    </row>
    <row r="64" spans="1:23" x14ac:dyDescent="0.25">
      <c r="B64" s="129">
        <v>4.54</v>
      </c>
      <c r="C64" s="15"/>
      <c r="D64" s="935">
        <f t="shared" si="4"/>
        <v>0</v>
      </c>
      <c r="E64" s="1480"/>
      <c r="F64" s="935">
        <f t="shared" si="14"/>
        <v>0</v>
      </c>
      <c r="G64" s="494"/>
      <c r="H64" s="495"/>
      <c r="I64" s="1479">
        <f t="shared" si="8"/>
        <v>0</v>
      </c>
      <c r="J64" s="1070">
        <f t="shared" si="16"/>
        <v>0</v>
      </c>
      <c r="K64" s="59">
        <f t="shared" si="6"/>
        <v>0</v>
      </c>
      <c r="N64" s="129">
        <v>4.54</v>
      </c>
      <c r="O64" s="15"/>
      <c r="P64" s="801">
        <f t="shared" si="10"/>
        <v>0</v>
      </c>
      <c r="Q64" s="1296"/>
      <c r="R64" s="801">
        <f t="shared" si="15"/>
        <v>0</v>
      </c>
      <c r="S64" s="524"/>
      <c r="T64" s="358"/>
      <c r="U64" s="1295">
        <f t="shared" si="12"/>
        <v>1643.480000000003</v>
      </c>
      <c r="V64" s="1225">
        <f t="shared" si="17"/>
        <v>362</v>
      </c>
      <c r="W64" s="59">
        <f t="shared" si="7"/>
        <v>0</v>
      </c>
    </row>
    <row r="65" spans="2:23" x14ac:dyDescent="0.25">
      <c r="B65" s="129">
        <v>4.54</v>
      </c>
      <c r="C65" s="15"/>
      <c r="D65" s="935">
        <f t="shared" si="4"/>
        <v>0</v>
      </c>
      <c r="E65" s="1480"/>
      <c r="F65" s="935">
        <f t="shared" si="14"/>
        <v>0</v>
      </c>
      <c r="G65" s="494"/>
      <c r="H65" s="495"/>
      <c r="I65" s="1479">
        <f t="shared" si="8"/>
        <v>0</v>
      </c>
      <c r="J65" s="1070">
        <f t="shared" si="16"/>
        <v>0</v>
      </c>
      <c r="K65" s="59">
        <f t="shared" si="6"/>
        <v>0</v>
      </c>
      <c r="N65" s="129">
        <v>4.54</v>
      </c>
      <c r="O65" s="15"/>
      <c r="P65" s="482">
        <f t="shared" si="10"/>
        <v>0</v>
      </c>
      <c r="Q65" s="1090"/>
      <c r="R65" s="482">
        <f t="shared" si="15"/>
        <v>0</v>
      </c>
      <c r="S65" s="314"/>
      <c r="T65" s="315"/>
      <c r="U65" s="758">
        <f t="shared" si="12"/>
        <v>1643.480000000003</v>
      </c>
      <c r="V65" s="1225">
        <f t="shared" si="17"/>
        <v>362</v>
      </c>
      <c r="W65" s="59">
        <f t="shared" si="7"/>
        <v>0</v>
      </c>
    </row>
    <row r="66" spans="2:23" x14ac:dyDescent="0.25">
      <c r="B66" s="129">
        <v>4.54</v>
      </c>
      <c r="C66" s="15"/>
      <c r="D66" s="935">
        <f t="shared" si="4"/>
        <v>0</v>
      </c>
      <c r="E66" s="1480"/>
      <c r="F66" s="935">
        <f t="shared" si="14"/>
        <v>0</v>
      </c>
      <c r="G66" s="494"/>
      <c r="H66" s="495"/>
      <c r="I66" s="1479">
        <f t="shared" si="8"/>
        <v>0</v>
      </c>
      <c r="J66" s="1070">
        <f t="shared" si="16"/>
        <v>0</v>
      </c>
      <c r="K66" s="59">
        <f t="shared" si="6"/>
        <v>0</v>
      </c>
      <c r="N66" s="129">
        <v>4.54</v>
      </c>
      <c r="O66" s="15"/>
      <c r="P66" s="482">
        <f t="shared" si="10"/>
        <v>0</v>
      </c>
      <c r="Q66" s="1090"/>
      <c r="R66" s="482">
        <f t="shared" si="15"/>
        <v>0</v>
      </c>
      <c r="S66" s="314"/>
      <c r="T66" s="315"/>
      <c r="U66" s="758">
        <f t="shared" si="12"/>
        <v>1643.480000000003</v>
      </c>
      <c r="V66" s="1225">
        <f t="shared" si="17"/>
        <v>362</v>
      </c>
      <c r="W66" s="59">
        <f t="shared" si="7"/>
        <v>0</v>
      </c>
    </row>
    <row r="67" spans="2:23" x14ac:dyDescent="0.25">
      <c r="B67" s="129">
        <v>4.54</v>
      </c>
      <c r="C67" s="15"/>
      <c r="D67" s="935">
        <f t="shared" si="4"/>
        <v>0</v>
      </c>
      <c r="E67" s="1480"/>
      <c r="F67" s="935">
        <f t="shared" si="14"/>
        <v>0</v>
      </c>
      <c r="G67" s="494"/>
      <c r="H67" s="495"/>
      <c r="I67" s="1479">
        <f t="shared" si="8"/>
        <v>0</v>
      </c>
      <c r="J67" s="1070">
        <f t="shared" si="16"/>
        <v>0</v>
      </c>
      <c r="K67" s="59">
        <f t="shared" si="6"/>
        <v>0</v>
      </c>
      <c r="N67" s="129">
        <v>4.54</v>
      </c>
      <c r="O67" s="15"/>
      <c r="P67" s="482">
        <f t="shared" si="10"/>
        <v>0</v>
      </c>
      <c r="Q67" s="1090"/>
      <c r="R67" s="482">
        <f t="shared" si="15"/>
        <v>0</v>
      </c>
      <c r="S67" s="314"/>
      <c r="T67" s="315"/>
      <c r="U67" s="758">
        <f t="shared" si="12"/>
        <v>1643.480000000003</v>
      </c>
      <c r="V67" s="1225">
        <f t="shared" si="17"/>
        <v>362</v>
      </c>
      <c r="W67" s="59">
        <f t="shared" si="7"/>
        <v>0</v>
      </c>
    </row>
    <row r="68" spans="2:23" x14ac:dyDescent="0.25">
      <c r="B68" s="129">
        <v>4.54</v>
      </c>
      <c r="C68" s="15"/>
      <c r="D68" s="935">
        <f t="shared" si="4"/>
        <v>0</v>
      </c>
      <c r="E68" s="1480"/>
      <c r="F68" s="935">
        <f t="shared" si="14"/>
        <v>0</v>
      </c>
      <c r="G68" s="494"/>
      <c r="H68" s="495"/>
      <c r="I68" s="1479">
        <f t="shared" si="8"/>
        <v>0</v>
      </c>
      <c r="J68" s="1070">
        <f t="shared" si="16"/>
        <v>0</v>
      </c>
      <c r="K68" s="59">
        <f t="shared" si="6"/>
        <v>0</v>
      </c>
      <c r="N68" s="129">
        <v>4.54</v>
      </c>
      <c r="O68" s="15"/>
      <c r="P68" s="482">
        <f t="shared" si="10"/>
        <v>0</v>
      </c>
      <c r="Q68" s="1090"/>
      <c r="R68" s="482">
        <f t="shared" si="15"/>
        <v>0</v>
      </c>
      <c r="S68" s="314"/>
      <c r="T68" s="315"/>
      <c r="U68" s="758">
        <f t="shared" si="12"/>
        <v>1643.480000000003</v>
      </c>
      <c r="V68" s="1225">
        <f t="shared" si="17"/>
        <v>362</v>
      </c>
      <c r="W68" s="59">
        <f t="shared" si="7"/>
        <v>0</v>
      </c>
    </row>
    <row r="69" spans="2:23" x14ac:dyDescent="0.25">
      <c r="B69" s="129">
        <v>4.54</v>
      </c>
      <c r="C69" s="15"/>
      <c r="D69" s="935">
        <f t="shared" si="4"/>
        <v>0</v>
      </c>
      <c r="E69" s="1480"/>
      <c r="F69" s="935">
        <f t="shared" si="14"/>
        <v>0</v>
      </c>
      <c r="G69" s="494"/>
      <c r="H69" s="495"/>
      <c r="I69" s="1479">
        <f t="shared" si="8"/>
        <v>0</v>
      </c>
      <c r="J69" s="1070">
        <f t="shared" si="16"/>
        <v>0</v>
      </c>
      <c r="K69" s="59">
        <f t="shared" si="6"/>
        <v>0</v>
      </c>
      <c r="N69" s="129">
        <v>4.54</v>
      </c>
      <c r="O69" s="15"/>
      <c r="P69" s="482">
        <f t="shared" si="10"/>
        <v>0</v>
      </c>
      <c r="Q69" s="1090"/>
      <c r="R69" s="482">
        <f t="shared" si="15"/>
        <v>0</v>
      </c>
      <c r="S69" s="314"/>
      <c r="T69" s="315"/>
      <c r="U69" s="758">
        <f t="shared" si="12"/>
        <v>1643.480000000003</v>
      </c>
      <c r="V69" s="1225">
        <f t="shared" si="17"/>
        <v>362</v>
      </c>
      <c r="W69" s="59">
        <f t="shared" si="7"/>
        <v>0</v>
      </c>
    </row>
    <row r="70" spans="2:23" x14ac:dyDescent="0.25">
      <c r="B70" s="129">
        <v>4.54</v>
      </c>
      <c r="C70" s="15"/>
      <c r="D70" s="935">
        <f t="shared" si="4"/>
        <v>0</v>
      </c>
      <c r="E70" s="1480"/>
      <c r="F70" s="935">
        <f t="shared" si="14"/>
        <v>0</v>
      </c>
      <c r="G70" s="494"/>
      <c r="H70" s="495"/>
      <c r="I70" s="1479">
        <f t="shared" si="8"/>
        <v>0</v>
      </c>
      <c r="J70" s="1070">
        <f t="shared" si="16"/>
        <v>0</v>
      </c>
      <c r="K70" s="59">
        <f t="shared" si="6"/>
        <v>0</v>
      </c>
      <c r="N70" s="129">
        <v>4.54</v>
      </c>
      <c r="O70" s="15"/>
      <c r="P70" s="482">
        <f t="shared" si="10"/>
        <v>0</v>
      </c>
      <c r="Q70" s="1090"/>
      <c r="R70" s="482">
        <f t="shared" si="15"/>
        <v>0</v>
      </c>
      <c r="S70" s="314"/>
      <c r="T70" s="315"/>
      <c r="U70" s="758">
        <f t="shared" si="12"/>
        <v>1643.480000000003</v>
      </c>
      <c r="V70" s="1225">
        <f t="shared" si="17"/>
        <v>362</v>
      </c>
      <c r="W70" s="59">
        <f t="shared" si="7"/>
        <v>0</v>
      </c>
    </row>
    <row r="71" spans="2:23" x14ac:dyDescent="0.25">
      <c r="B71" s="129">
        <v>4.54</v>
      </c>
      <c r="C71" s="15"/>
      <c r="D71" s="935">
        <f t="shared" si="4"/>
        <v>0</v>
      </c>
      <c r="E71" s="1480"/>
      <c r="F71" s="935">
        <f t="shared" si="14"/>
        <v>0</v>
      </c>
      <c r="G71" s="494"/>
      <c r="H71" s="495"/>
      <c r="I71" s="1479">
        <f t="shared" si="8"/>
        <v>0</v>
      </c>
      <c r="J71" s="1070">
        <f t="shared" si="16"/>
        <v>0</v>
      </c>
      <c r="K71" s="59">
        <f t="shared" si="6"/>
        <v>0</v>
      </c>
      <c r="N71" s="129">
        <v>4.54</v>
      </c>
      <c r="O71" s="15"/>
      <c r="P71" s="482">
        <f t="shared" si="10"/>
        <v>0</v>
      </c>
      <c r="Q71" s="1090"/>
      <c r="R71" s="482">
        <f t="shared" si="15"/>
        <v>0</v>
      </c>
      <c r="S71" s="314"/>
      <c r="T71" s="315"/>
      <c r="U71" s="758">
        <f t="shared" si="12"/>
        <v>1643.480000000003</v>
      </c>
      <c r="V71" s="1225">
        <f t="shared" si="17"/>
        <v>362</v>
      </c>
      <c r="W71" s="59">
        <f t="shared" si="7"/>
        <v>0</v>
      </c>
    </row>
    <row r="72" spans="2:23" x14ac:dyDescent="0.25">
      <c r="B72" s="129">
        <v>4.54</v>
      </c>
      <c r="C72" s="15"/>
      <c r="D72" s="935">
        <f t="shared" si="4"/>
        <v>0</v>
      </c>
      <c r="E72" s="1480"/>
      <c r="F72" s="935">
        <f t="shared" si="14"/>
        <v>0</v>
      </c>
      <c r="G72" s="494"/>
      <c r="H72" s="495"/>
      <c r="I72" s="1479">
        <f t="shared" si="8"/>
        <v>0</v>
      </c>
      <c r="J72" s="1070">
        <f t="shared" si="16"/>
        <v>0</v>
      </c>
      <c r="K72" s="59">
        <f t="shared" si="6"/>
        <v>0</v>
      </c>
      <c r="N72" s="129">
        <v>4.54</v>
      </c>
      <c r="O72" s="15"/>
      <c r="P72" s="482">
        <f t="shared" si="10"/>
        <v>0</v>
      </c>
      <c r="Q72" s="1090"/>
      <c r="R72" s="482">
        <f t="shared" si="15"/>
        <v>0</v>
      </c>
      <c r="S72" s="314"/>
      <c r="T72" s="315"/>
      <c r="U72" s="758">
        <f t="shared" si="12"/>
        <v>1643.480000000003</v>
      </c>
      <c r="V72" s="1225">
        <f t="shared" si="17"/>
        <v>362</v>
      </c>
      <c r="W72" s="59">
        <f t="shared" si="7"/>
        <v>0</v>
      </c>
    </row>
    <row r="73" spans="2:23" x14ac:dyDescent="0.25">
      <c r="B73" s="129">
        <v>4.54</v>
      </c>
      <c r="C73" s="15"/>
      <c r="D73" s="935">
        <f t="shared" si="4"/>
        <v>0</v>
      </c>
      <c r="E73" s="1480"/>
      <c r="F73" s="935">
        <f t="shared" si="14"/>
        <v>0</v>
      </c>
      <c r="G73" s="494"/>
      <c r="H73" s="495"/>
      <c r="I73" s="1479">
        <f t="shared" si="8"/>
        <v>0</v>
      </c>
      <c r="J73" s="1070">
        <f t="shared" si="16"/>
        <v>0</v>
      </c>
      <c r="K73" s="59">
        <f t="shared" si="6"/>
        <v>0</v>
      </c>
      <c r="N73" s="129">
        <v>4.54</v>
      </c>
      <c r="O73" s="15"/>
      <c r="P73" s="482">
        <f t="shared" si="10"/>
        <v>0</v>
      </c>
      <c r="Q73" s="1090"/>
      <c r="R73" s="482">
        <f t="shared" si="15"/>
        <v>0</v>
      </c>
      <c r="S73" s="314"/>
      <c r="T73" s="315"/>
      <c r="U73" s="758">
        <f t="shared" si="12"/>
        <v>1643.480000000003</v>
      </c>
      <c r="V73" s="1225">
        <f t="shared" si="17"/>
        <v>362</v>
      </c>
      <c r="W73" s="59">
        <f t="shared" si="7"/>
        <v>0</v>
      </c>
    </row>
    <row r="74" spans="2:23" x14ac:dyDescent="0.25">
      <c r="B74" s="129">
        <v>4.54</v>
      </c>
      <c r="C74" s="15"/>
      <c r="D74" s="935">
        <f t="shared" ref="D74:D109" si="18">C74*B74</f>
        <v>0</v>
      </c>
      <c r="E74" s="1480"/>
      <c r="F74" s="935">
        <f t="shared" si="14"/>
        <v>0</v>
      </c>
      <c r="G74" s="494"/>
      <c r="H74" s="495"/>
      <c r="I74" s="1479">
        <f t="shared" si="8"/>
        <v>0</v>
      </c>
      <c r="J74" s="1070">
        <f t="shared" si="16"/>
        <v>0</v>
      </c>
      <c r="K74" s="59">
        <f t="shared" si="6"/>
        <v>0</v>
      </c>
      <c r="N74" s="129">
        <v>4.54</v>
      </c>
      <c r="O74" s="15"/>
      <c r="P74" s="482">
        <f t="shared" ref="P74:P109" si="19">O74*N74</f>
        <v>0</v>
      </c>
      <c r="Q74" s="1090"/>
      <c r="R74" s="482">
        <f t="shared" si="15"/>
        <v>0</v>
      </c>
      <c r="S74" s="314"/>
      <c r="T74" s="315"/>
      <c r="U74" s="758">
        <f t="shared" si="12"/>
        <v>1643.480000000003</v>
      </c>
      <c r="V74" s="1225">
        <f t="shared" si="17"/>
        <v>362</v>
      </c>
      <c r="W74" s="59">
        <f t="shared" si="7"/>
        <v>0</v>
      </c>
    </row>
    <row r="75" spans="2:23" x14ac:dyDescent="0.25">
      <c r="B75" s="129">
        <v>4.54</v>
      </c>
      <c r="C75" s="15"/>
      <c r="D75" s="935">
        <f t="shared" si="18"/>
        <v>0</v>
      </c>
      <c r="E75" s="1480"/>
      <c r="F75" s="935">
        <f t="shared" si="14"/>
        <v>0</v>
      </c>
      <c r="G75" s="494"/>
      <c r="H75" s="495"/>
      <c r="I75" s="1479">
        <f t="shared" si="8"/>
        <v>0</v>
      </c>
      <c r="J75" s="1070">
        <f t="shared" si="16"/>
        <v>0</v>
      </c>
      <c r="K75" s="59">
        <f t="shared" si="6"/>
        <v>0</v>
      </c>
      <c r="N75" s="129">
        <v>4.54</v>
      </c>
      <c r="O75" s="15"/>
      <c r="P75" s="482">
        <f t="shared" si="19"/>
        <v>0</v>
      </c>
      <c r="Q75" s="1090"/>
      <c r="R75" s="482">
        <f t="shared" si="15"/>
        <v>0</v>
      </c>
      <c r="S75" s="314"/>
      <c r="T75" s="315"/>
      <c r="U75" s="758">
        <f t="shared" si="12"/>
        <v>1643.480000000003</v>
      </c>
      <c r="V75" s="1225">
        <f t="shared" si="17"/>
        <v>362</v>
      </c>
      <c r="W75" s="59">
        <f t="shared" si="7"/>
        <v>0</v>
      </c>
    </row>
    <row r="76" spans="2:23" x14ac:dyDescent="0.25">
      <c r="B76" s="129">
        <v>4.54</v>
      </c>
      <c r="C76" s="15"/>
      <c r="D76" s="935">
        <f t="shared" si="18"/>
        <v>0</v>
      </c>
      <c r="E76" s="1480"/>
      <c r="F76" s="935">
        <f t="shared" si="14"/>
        <v>0</v>
      </c>
      <c r="G76" s="494"/>
      <c r="H76" s="495"/>
      <c r="I76" s="1479">
        <f t="shared" ref="I76:I108" si="20">I75-F76</f>
        <v>0</v>
      </c>
      <c r="J76" s="1070">
        <f t="shared" si="16"/>
        <v>0</v>
      </c>
      <c r="K76" s="59">
        <f t="shared" si="6"/>
        <v>0</v>
      </c>
      <c r="N76" s="129">
        <v>4.54</v>
      </c>
      <c r="O76" s="15"/>
      <c r="P76" s="482">
        <f t="shared" si="19"/>
        <v>0</v>
      </c>
      <c r="Q76" s="1090"/>
      <c r="R76" s="482">
        <f t="shared" si="15"/>
        <v>0</v>
      </c>
      <c r="S76" s="314"/>
      <c r="T76" s="315"/>
      <c r="U76" s="758">
        <f t="shared" ref="U76:U108" si="21">U75-R76</f>
        <v>1643.480000000003</v>
      </c>
      <c r="V76" s="1225">
        <f t="shared" si="17"/>
        <v>362</v>
      </c>
      <c r="W76" s="59">
        <f t="shared" si="7"/>
        <v>0</v>
      </c>
    </row>
    <row r="77" spans="2:23" x14ac:dyDescent="0.25">
      <c r="B77" s="129">
        <v>4.54</v>
      </c>
      <c r="C77" s="15"/>
      <c r="D77" s="935">
        <f t="shared" si="18"/>
        <v>0</v>
      </c>
      <c r="E77" s="1480"/>
      <c r="F77" s="935">
        <f t="shared" si="14"/>
        <v>0</v>
      </c>
      <c r="G77" s="494"/>
      <c r="H77" s="495"/>
      <c r="I77" s="1479">
        <f t="shared" si="20"/>
        <v>0</v>
      </c>
      <c r="J77" s="1070">
        <f t="shared" si="16"/>
        <v>0</v>
      </c>
      <c r="K77" s="59">
        <f t="shared" si="6"/>
        <v>0</v>
      </c>
      <c r="N77" s="129">
        <v>4.54</v>
      </c>
      <c r="O77" s="15"/>
      <c r="P77" s="482">
        <f t="shared" si="19"/>
        <v>0</v>
      </c>
      <c r="Q77" s="1090"/>
      <c r="R77" s="482">
        <f t="shared" si="15"/>
        <v>0</v>
      </c>
      <c r="S77" s="314"/>
      <c r="T77" s="315"/>
      <c r="U77" s="758">
        <f t="shared" si="21"/>
        <v>1643.480000000003</v>
      </c>
      <c r="V77" s="1225">
        <f t="shared" si="17"/>
        <v>362</v>
      </c>
      <c r="W77" s="59">
        <f t="shared" si="7"/>
        <v>0</v>
      </c>
    </row>
    <row r="78" spans="2:23" x14ac:dyDescent="0.25">
      <c r="B78" s="129">
        <v>4.54</v>
      </c>
      <c r="C78" s="15"/>
      <c r="D78" s="935">
        <f t="shared" si="18"/>
        <v>0</v>
      </c>
      <c r="E78" s="1480"/>
      <c r="F78" s="935">
        <f t="shared" si="14"/>
        <v>0</v>
      </c>
      <c r="G78" s="494"/>
      <c r="H78" s="495"/>
      <c r="I78" s="1479">
        <f t="shared" si="20"/>
        <v>0</v>
      </c>
      <c r="J78" s="1070">
        <f t="shared" si="16"/>
        <v>0</v>
      </c>
      <c r="K78" s="59">
        <f t="shared" si="6"/>
        <v>0</v>
      </c>
      <c r="N78" s="129">
        <v>4.54</v>
      </c>
      <c r="O78" s="15"/>
      <c r="P78" s="482">
        <f t="shared" si="19"/>
        <v>0</v>
      </c>
      <c r="Q78" s="1090"/>
      <c r="R78" s="482">
        <f t="shared" si="15"/>
        <v>0</v>
      </c>
      <c r="S78" s="314"/>
      <c r="T78" s="315"/>
      <c r="U78" s="758">
        <f t="shared" si="21"/>
        <v>1643.480000000003</v>
      </c>
      <c r="V78" s="1225">
        <f t="shared" si="17"/>
        <v>362</v>
      </c>
      <c r="W78" s="59">
        <f t="shared" si="7"/>
        <v>0</v>
      </c>
    </row>
    <row r="79" spans="2:23" x14ac:dyDescent="0.25">
      <c r="B79" s="129">
        <v>4.54</v>
      </c>
      <c r="C79" s="15"/>
      <c r="D79" s="935">
        <f t="shared" si="18"/>
        <v>0</v>
      </c>
      <c r="E79" s="1480"/>
      <c r="F79" s="935">
        <f t="shared" si="14"/>
        <v>0</v>
      </c>
      <c r="G79" s="494"/>
      <c r="H79" s="495"/>
      <c r="I79" s="1479">
        <f t="shared" si="20"/>
        <v>0</v>
      </c>
      <c r="J79" s="1070">
        <f t="shared" si="16"/>
        <v>0</v>
      </c>
      <c r="K79" s="59">
        <f t="shared" si="6"/>
        <v>0</v>
      </c>
      <c r="N79" s="129">
        <v>4.54</v>
      </c>
      <c r="O79" s="15"/>
      <c r="P79" s="482">
        <f t="shared" si="19"/>
        <v>0</v>
      </c>
      <c r="Q79" s="1090"/>
      <c r="R79" s="482">
        <f t="shared" si="15"/>
        <v>0</v>
      </c>
      <c r="S79" s="314"/>
      <c r="T79" s="315"/>
      <c r="U79" s="758">
        <f t="shared" si="21"/>
        <v>1643.480000000003</v>
      </c>
      <c r="V79" s="1225">
        <f t="shared" si="17"/>
        <v>362</v>
      </c>
      <c r="W79" s="59">
        <f t="shared" si="7"/>
        <v>0</v>
      </c>
    </row>
    <row r="80" spans="2:23" x14ac:dyDescent="0.25">
      <c r="B80" s="129">
        <v>4.54</v>
      </c>
      <c r="C80" s="15"/>
      <c r="D80" s="68">
        <f t="shared" si="18"/>
        <v>0</v>
      </c>
      <c r="E80" s="186"/>
      <c r="F80" s="68">
        <f t="shared" si="14"/>
        <v>0</v>
      </c>
      <c r="G80" s="69"/>
      <c r="H80" s="70"/>
      <c r="I80" s="758">
        <f t="shared" si="20"/>
        <v>0</v>
      </c>
      <c r="J80" s="1070">
        <f t="shared" si="16"/>
        <v>0</v>
      </c>
      <c r="K80" s="59">
        <f t="shared" si="6"/>
        <v>0</v>
      </c>
      <c r="N80" s="129">
        <v>4.54</v>
      </c>
      <c r="O80" s="15"/>
      <c r="P80" s="68">
        <f t="shared" si="19"/>
        <v>0</v>
      </c>
      <c r="Q80" s="186"/>
      <c r="R80" s="68">
        <f t="shared" si="15"/>
        <v>0</v>
      </c>
      <c r="S80" s="69"/>
      <c r="T80" s="70"/>
      <c r="U80" s="758">
        <f t="shared" si="21"/>
        <v>1643.480000000003</v>
      </c>
      <c r="V80" s="1225">
        <f t="shared" si="17"/>
        <v>362</v>
      </c>
      <c r="W80" s="59">
        <f t="shared" si="7"/>
        <v>0</v>
      </c>
    </row>
    <row r="81" spans="2:23" x14ac:dyDescent="0.25">
      <c r="B81" s="129">
        <v>4.54</v>
      </c>
      <c r="C81" s="15"/>
      <c r="D81" s="68">
        <f t="shared" si="18"/>
        <v>0</v>
      </c>
      <c r="E81" s="186"/>
      <c r="F81" s="68">
        <f t="shared" si="14"/>
        <v>0</v>
      </c>
      <c r="G81" s="69"/>
      <c r="H81" s="70"/>
      <c r="I81" s="758">
        <f t="shared" si="20"/>
        <v>0</v>
      </c>
      <c r="J81" s="1070">
        <f t="shared" si="16"/>
        <v>0</v>
      </c>
      <c r="K81" s="59">
        <f t="shared" si="6"/>
        <v>0</v>
      </c>
      <c r="N81" s="129">
        <v>4.54</v>
      </c>
      <c r="O81" s="15"/>
      <c r="P81" s="68">
        <f t="shared" si="19"/>
        <v>0</v>
      </c>
      <c r="Q81" s="186"/>
      <c r="R81" s="68">
        <f t="shared" si="15"/>
        <v>0</v>
      </c>
      <c r="S81" s="69"/>
      <c r="T81" s="70"/>
      <c r="U81" s="758">
        <f t="shared" si="21"/>
        <v>1643.480000000003</v>
      </c>
      <c r="V81" s="1225">
        <f t="shared" si="17"/>
        <v>362</v>
      </c>
      <c r="W81" s="59">
        <f t="shared" si="7"/>
        <v>0</v>
      </c>
    </row>
    <row r="82" spans="2:23" x14ac:dyDescent="0.25">
      <c r="B82" s="129">
        <v>4.54</v>
      </c>
      <c r="C82" s="15"/>
      <c r="D82" s="68">
        <f t="shared" si="18"/>
        <v>0</v>
      </c>
      <c r="E82" s="186"/>
      <c r="F82" s="68">
        <f t="shared" si="14"/>
        <v>0</v>
      </c>
      <c r="G82" s="69"/>
      <c r="H82" s="70"/>
      <c r="I82" s="758">
        <f t="shared" si="20"/>
        <v>0</v>
      </c>
      <c r="J82" s="1070">
        <f t="shared" si="16"/>
        <v>0</v>
      </c>
      <c r="K82" s="59">
        <f t="shared" si="6"/>
        <v>0</v>
      </c>
      <c r="N82" s="129">
        <v>4.54</v>
      </c>
      <c r="O82" s="15"/>
      <c r="P82" s="68">
        <f t="shared" si="19"/>
        <v>0</v>
      </c>
      <c r="Q82" s="186"/>
      <c r="R82" s="68">
        <f t="shared" si="15"/>
        <v>0</v>
      </c>
      <c r="S82" s="69"/>
      <c r="T82" s="70"/>
      <c r="U82" s="758">
        <f t="shared" si="21"/>
        <v>1643.480000000003</v>
      </c>
      <c r="V82" s="1225">
        <f t="shared" si="17"/>
        <v>362</v>
      </c>
      <c r="W82" s="59">
        <f t="shared" si="7"/>
        <v>0</v>
      </c>
    </row>
    <row r="83" spans="2:23" x14ac:dyDescent="0.25">
      <c r="B83" s="129">
        <v>4.54</v>
      </c>
      <c r="C83" s="15"/>
      <c r="D83" s="68">
        <f t="shared" si="18"/>
        <v>0</v>
      </c>
      <c r="E83" s="186"/>
      <c r="F83" s="68">
        <f t="shared" si="14"/>
        <v>0</v>
      </c>
      <c r="G83" s="69"/>
      <c r="H83" s="70"/>
      <c r="I83" s="758">
        <f t="shared" si="20"/>
        <v>0</v>
      </c>
      <c r="J83" s="1070">
        <f t="shared" si="16"/>
        <v>0</v>
      </c>
      <c r="K83" s="59">
        <f t="shared" si="6"/>
        <v>0</v>
      </c>
      <c r="N83" s="129">
        <v>4.54</v>
      </c>
      <c r="O83" s="15"/>
      <c r="P83" s="68">
        <f t="shared" si="19"/>
        <v>0</v>
      </c>
      <c r="Q83" s="186"/>
      <c r="R83" s="68">
        <f t="shared" si="15"/>
        <v>0</v>
      </c>
      <c r="S83" s="69"/>
      <c r="T83" s="70"/>
      <c r="U83" s="758">
        <f t="shared" si="21"/>
        <v>1643.480000000003</v>
      </c>
      <c r="V83" s="1225">
        <f t="shared" si="17"/>
        <v>362</v>
      </c>
      <c r="W83" s="59">
        <f t="shared" si="7"/>
        <v>0</v>
      </c>
    </row>
    <row r="84" spans="2:23" x14ac:dyDescent="0.25">
      <c r="B84" s="129">
        <v>4.54</v>
      </c>
      <c r="C84" s="15"/>
      <c r="D84" s="68">
        <f t="shared" si="18"/>
        <v>0</v>
      </c>
      <c r="E84" s="186"/>
      <c r="F84" s="68">
        <f t="shared" si="14"/>
        <v>0</v>
      </c>
      <c r="G84" s="69"/>
      <c r="H84" s="70"/>
      <c r="I84" s="758">
        <f t="shared" si="20"/>
        <v>0</v>
      </c>
      <c r="J84" s="1070">
        <f t="shared" si="16"/>
        <v>0</v>
      </c>
      <c r="K84" s="59">
        <f t="shared" si="6"/>
        <v>0</v>
      </c>
      <c r="N84" s="129">
        <v>4.54</v>
      </c>
      <c r="O84" s="15"/>
      <c r="P84" s="68">
        <f t="shared" si="19"/>
        <v>0</v>
      </c>
      <c r="Q84" s="186"/>
      <c r="R84" s="68">
        <f t="shared" si="15"/>
        <v>0</v>
      </c>
      <c r="S84" s="69"/>
      <c r="T84" s="70"/>
      <c r="U84" s="758">
        <f t="shared" si="21"/>
        <v>1643.480000000003</v>
      </c>
      <c r="V84" s="1225">
        <f t="shared" si="17"/>
        <v>362</v>
      </c>
      <c r="W84" s="59">
        <f t="shared" si="7"/>
        <v>0</v>
      </c>
    </row>
    <row r="85" spans="2:23" x14ac:dyDescent="0.25">
      <c r="B85" s="129">
        <v>4.54</v>
      </c>
      <c r="C85" s="15"/>
      <c r="D85" s="68">
        <f t="shared" si="18"/>
        <v>0</v>
      </c>
      <c r="E85" s="186"/>
      <c r="F85" s="68">
        <f t="shared" si="14"/>
        <v>0</v>
      </c>
      <c r="G85" s="69"/>
      <c r="H85" s="70"/>
      <c r="I85" s="758">
        <f t="shared" si="20"/>
        <v>0</v>
      </c>
      <c r="J85" s="1070">
        <f t="shared" si="16"/>
        <v>0</v>
      </c>
      <c r="K85" s="59">
        <f t="shared" si="6"/>
        <v>0</v>
      </c>
      <c r="N85" s="129">
        <v>4.54</v>
      </c>
      <c r="O85" s="15"/>
      <c r="P85" s="68">
        <f t="shared" si="19"/>
        <v>0</v>
      </c>
      <c r="Q85" s="186"/>
      <c r="R85" s="68">
        <f t="shared" si="15"/>
        <v>0</v>
      </c>
      <c r="S85" s="69"/>
      <c r="T85" s="70"/>
      <c r="U85" s="758">
        <f t="shared" si="21"/>
        <v>1643.480000000003</v>
      </c>
      <c r="V85" s="1225">
        <f t="shared" si="17"/>
        <v>362</v>
      </c>
      <c r="W85" s="59">
        <f t="shared" si="7"/>
        <v>0</v>
      </c>
    </row>
    <row r="86" spans="2:23" x14ac:dyDescent="0.25">
      <c r="B86" s="129">
        <v>4.54</v>
      </c>
      <c r="C86" s="15"/>
      <c r="D86" s="68">
        <f t="shared" si="18"/>
        <v>0</v>
      </c>
      <c r="E86" s="186"/>
      <c r="F86" s="68">
        <f t="shared" si="14"/>
        <v>0</v>
      </c>
      <c r="G86" s="69"/>
      <c r="H86" s="70"/>
      <c r="I86" s="758">
        <f t="shared" si="20"/>
        <v>0</v>
      </c>
      <c r="J86" s="1070">
        <f t="shared" si="16"/>
        <v>0</v>
      </c>
      <c r="K86" s="59">
        <f t="shared" ref="K86:K108" si="22">H86*F86</f>
        <v>0</v>
      </c>
      <c r="N86" s="129">
        <v>4.54</v>
      </c>
      <c r="O86" s="15"/>
      <c r="P86" s="68">
        <f t="shared" si="19"/>
        <v>0</v>
      </c>
      <c r="Q86" s="186"/>
      <c r="R86" s="68">
        <f t="shared" si="15"/>
        <v>0</v>
      </c>
      <c r="S86" s="69"/>
      <c r="T86" s="70"/>
      <c r="U86" s="758">
        <f t="shared" si="21"/>
        <v>1643.480000000003</v>
      </c>
      <c r="V86" s="1225">
        <f t="shared" si="17"/>
        <v>362</v>
      </c>
      <c r="W86" s="59">
        <f t="shared" ref="W86:W108" si="23">T86*R86</f>
        <v>0</v>
      </c>
    </row>
    <row r="87" spans="2:23" x14ac:dyDescent="0.25">
      <c r="B87" s="129">
        <v>4.54</v>
      </c>
      <c r="C87" s="15"/>
      <c r="D87" s="68">
        <f t="shared" si="18"/>
        <v>0</v>
      </c>
      <c r="E87" s="186"/>
      <c r="F87" s="68">
        <f t="shared" si="14"/>
        <v>0</v>
      </c>
      <c r="G87" s="69"/>
      <c r="H87" s="70"/>
      <c r="I87" s="758">
        <f t="shared" si="20"/>
        <v>0</v>
      </c>
      <c r="J87" s="1070">
        <f t="shared" si="16"/>
        <v>0</v>
      </c>
      <c r="K87" s="59">
        <f t="shared" si="22"/>
        <v>0</v>
      </c>
      <c r="N87" s="129">
        <v>4.54</v>
      </c>
      <c r="O87" s="15"/>
      <c r="P87" s="68">
        <f t="shared" si="19"/>
        <v>0</v>
      </c>
      <c r="Q87" s="186"/>
      <c r="R87" s="68">
        <f t="shared" si="15"/>
        <v>0</v>
      </c>
      <c r="S87" s="69"/>
      <c r="T87" s="70"/>
      <c r="U87" s="758">
        <f t="shared" si="21"/>
        <v>1643.480000000003</v>
      </c>
      <c r="V87" s="1225">
        <f t="shared" si="17"/>
        <v>362</v>
      </c>
      <c r="W87" s="59">
        <f t="shared" si="23"/>
        <v>0</v>
      </c>
    </row>
    <row r="88" spans="2:23" x14ac:dyDescent="0.25">
      <c r="B88" s="129">
        <v>4.54</v>
      </c>
      <c r="C88" s="15"/>
      <c r="D88" s="68">
        <f t="shared" si="18"/>
        <v>0</v>
      </c>
      <c r="E88" s="186"/>
      <c r="F88" s="68">
        <f t="shared" si="14"/>
        <v>0</v>
      </c>
      <c r="G88" s="69"/>
      <c r="H88" s="70"/>
      <c r="I88" s="758">
        <f t="shared" si="20"/>
        <v>0</v>
      </c>
      <c r="J88" s="1070">
        <f t="shared" si="16"/>
        <v>0</v>
      </c>
      <c r="K88" s="59">
        <f t="shared" si="22"/>
        <v>0</v>
      </c>
      <c r="N88" s="129">
        <v>4.54</v>
      </c>
      <c r="O88" s="15"/>
      <c r="P88" s="68">
        <f t="shared" si="19"/>
        <v>0</v>
      </c>
      <c r="Q88" s="186"/>
      <c r="R88" s="68">
        <f t="shared" si="15"/>
        <v>0</v>
      </c>
      <c r="S88" s="69"/>
      <c r="T88" s="70"/>
      <c r="U88" s="758">
        <f t="shared" si="21"/>
        <v>1643.480000000003</v>
      </c>
      <c r="V88" s="1225">
        <f t="shared" si="17"/>
        <v>362</v>
      </c>
      <c r="W88" s="59">
        <f t="shared" si="23"/>
        <v>0</v>
      </c>
    </row>
    <row r="89" spans="2:23" x14ac:dyDescent="0.25">
      <c r="B89" s="129">
        <v>4.54</v>
      </c>
      <c r="C89" s="15"/>
      <c r="D89" s="68">
        <f t="shared" si="18"/>
        <v>0</v>
      </c>
      <c r="E89" s="186"/>
      <c r="F89" s="68">
        <f t="shared" si="14"/>
        <v>0</v>
      </c>
      <c r="G89" s="69"/>
      <c r="H89" s="70"/>
      <c r="I89" s="758">
        <f t="shared" si="20"/>
        <v>0</v>
      </c>
      <c r="J89" s="1070">
        <f t="shared" si="16"/>
        <v>0</v>
      </c>
      <c r="K89" s="59">
        <f t="shared" si="22"/>
        <v>0</v>
      </c>
      <c r="N89" s="129">
        <v>4.54</v>
      </c>
      <c r="O89" s="15"/>
      <c r="P89" s="68">
        <f t="shared" si="19"/>
        <v>0</v>
      </c>
      <c r="Q89" s="186"/>
      <c r="R89" s="68">
        <f t="shared" si="15"/>
        <v>0</v>
      </c>
      <c r="S89" s="69"/>
      <c r="T89" s="70"/>
      <c r="U89" s="758">
        <f t="shared" si="21"/>
        <v>1643.480000000003</v>
      </c>
      <c r="V89" s="1225">
        <f t="shared" si="17"/>
        <v>362</v>
      </c>
      <c r="W89" s="59">
        <f t="shared" si="23"/>
        <v>0</v>
      </c>
    </row>
    <row r="90" spans="2:23" x14ac:dyDescent="0.25">
      <c r="B90" s="129">
        <v>4.54</v>
      </c>
      <c r="C90" s="15"/>
      <c r="D90" s="68">
        <f t="shared" si="18"/>
        <v>0</v>
      </c>
      <c r="E90" s="186"/>
      <c r="F90" s="68">
        <f t="shared" si="14"/>
        <v>0</v>
      </c>
      <c r="G90" s="69"/>
      <c r="H90" s="70"/>
      <c r="I90" s="758">
        <f t="shared" si="20"/>
        <v>0</v>
      </c>
      <c r="J90" s="1070">
        <f t="shared" si="16"/>
        <v>0</v>
      </c>
      <c r="K90" s="59">
        <f t="shared" si="22"/>
        <v>0</v>
      </c>
      <c r="N90" s="129">
        <v>4.54</v>
      </c>
      <c r="O90" s="15"/>
      <c r="P90" s="68">
        <f t="shared" si="19"/>
        <v>0</v>
      </c>
      <c r="Q90" s="186"/>
      <c r="R90" s="68">
        <f t="shared" si="15"/>
        <v>0</v>
      </c>
      <c r="S90" s="69"/>
      <c r="T90" s="70"/>
      <c r="U90" s="758">
        <f t="shared" si="21"/>
        <v>1643.480000000003</v>
      </c>
      <c r="V90" s="1225">
        <f t="shared" si="17"/>
        <v>362</v>
      </c>
      <c r="W90" s="59">
        <f t="shared" si="23"/>
        <v>0</v>
      </c>
    </row>
    <row r="91" spans="2:23" x14ac:dyDescent="0.25">
      <c r="B91" s="129">
        <v>4.54</v>
      </c>
      <c r="C91" s="15"/>
      <c r="D91" s="68">
        <f t="shared" si="18"/>
        <v>0</v>
      </c>
      <c r="E91" s="186"/>
      <c r="F91" s="68">
        <f t="shared" si="14"/>
        <v>0</v>
      </c>
      <c r="G91" s="69"/>
      <c r="H91" s="70"/>
      <c r="I91" s="758">
        <f t="shared" si="20"/>
        <v>0</v>
      </c>
      <c r="J91" s="1070">
        <f t="shared" si="16"/>
        <v>0</v>
      </c>
      <c r="K91" s="59">
        <f t="shared" si="22"/>
        <v>0</v>
      </c>
      <c r="N91" s="129">
        <v>4.54</v>
      </c>
      <c r="O91" s="15"/>
      <c r="P91" s="68">
        <f t="shared" si="19"/>
        <v>0</v>
      </c>
      <c r="Q91" s="186"/>
      <c r="R91" s="68">
        <f t="shared" si="15"/>
        <v>0</v>
      </c>
      <c r="S91" s="69"/>
      <c r="T91" s="70"/>
      <c r="U91" s="758">
        <f t="shared" si="21"/>
        <v>1643.480000000003</v>
      </c>
      <c r="V91" s="1225">
        <f t="shared" si="17"/>
        <v>362</v>
      </c>
      <c r="W91" s="59">
        <f t="shared" si="23"/>
        <v>0</v>
      </c>
    </row>
    <row r="92" spans="2:23" x14ac:dyDescent="0.25">
      <c r="B92" s="129">
        <v>4.54</v>
      </c>
      <c r="C92" s="15"/>
      <c r="D92" s="68">
        <f t="shared" si="18"/>
        <v>0</v>
      </c>
      <c r="E92" s="186"/>
      <c r="F92" s="68">
        <f t="shared" si="14"/>
        <v>0</v>
      </c>
      <c r="G92" s="69"/>
      <c r="H92" s="70"/>
      <c r="I92" s="758">
        <f t="shared" si="20"/>
        <v>0</v>
      </c>
      <c r="J92" s="1070">
        <f t="shared" si="16"/>
        <v>0</v>
      </c>
      <c r="K92" s="59">
        <f t="shared" si="22"/>
        <v>0</v>
      </c>
      <c r="N92" s="129">
        <v>4.54</v>
      </c>
      <c r="O92" s="15"/>
      <c r="P92" s="68">
        <f t="shared" si="19"/>
        <v>0</v>
      </c>
      <c r="Q92" s="186"/>
      <c r="R92" s="68">
        <f t="shared" si="15"/>
        <v>0</v>
      </c>
      <c r="S92" s="69"/>
      <c r="T92" s="70"/>
      <c r="U92" s="758">
        <f t="shared" si="21"/>
        <v>1643.480000000003</v>
      </c>
      <c r="V92" s="1225">
        <f t="shared" si="17"/>
        <v>362</v>
      </c>
      <c r="W92" s="59">
        <f t="shared" si="23"/>
        <v>0</v>
      </c>
    </row>
    <row r="93" spans="2:23" x14ac:dyDescent="0.25">
      <c r="B93" s="129">
        <v>4.54</v>
      </c>
      <c r="C93" s="15"/>
      <c r="D93" s="68">
        <f t="shared" si="18"/>
        <v>0</v>
      </c>
      <c r="E93" s="186"/>
      <c r="F93" s="68">
        <f t="shared" si="14"/>
        <v>0</v>
      </c>
      <c r="G93" s="69"/>
      <c r="H93" s="70"/>
      <c r="I93" s="758">
        <f t="shared" si="20"/>
        <v>0</v>
      </c>
      <c r="J93" s="1070">
        <f t="shared" si="16"/>
        <v>0</v>
      </c>
      <c r="K93" s="59">
        <f t="shared" si="22"/>
        <v>0</v>
      </c>
      <c r="N93" s="129">
        <v>4.54</v>
      </c>
      <c r="O93" s="15"/>
      <c r="P93" s="68">
        <f t="shared" si="19"/>
        <v>0</v>
      </c>
      <c r="Q93" s="186"/>
      <c r="R93" s="68">
        <f t="shared" si="15"/>
        <v>0</v>
      </c>
      <c r="S93" s="69"/>
      <c r="T93" s="70"/>
      <c r="U93" s="758">
        <f t="shared" si="21"/>
        <v>1643.480000000003</v>
      </c>
      <c r="V93" s="1225">
        <f t="shared" si="17"/>
        <v>362</v>
      </c>
      <c r="W93" s="59">
        <f t="shared" si="23"/>
        <v>0</v>
      </c>
    </row>
    <row r="94" spans="2:23" x14ac:dyDescent="0.25">
      <c r="B94" s="129">
        <v>4.54</v>
      </c>
      <c r="C94" s="15"/>
      <c r="D94" s="68">
        <f t="shared" si="18"/>
        <v>0</v>
      </c>
      <c r="E94" s="186"/>
      <c r="F94" s="68">
        <f t="shared" si="14"/>
        <v>0</v>
      </c>
      <c r="G94" s="69"/>
      <c r="H94" s="70"/>
      <c r="I94" s="758">
        <f t="shared" si="20"/>
        <v>0</v>
      </c>
      <c r="J94" s="1070">
        <f t="shared" si="16"/>
        <v>0</v>
      </c>
      <c r="K94" s="59">
        <f t="shared" si="22"/>
        <v>0</v>
      </c>
      <c r="N94" s="129">
        <v>4.54</v>
      </c>
      <c r="O94" s="15"/>
      <c r="P94" s="68">
        <f t="shared" si="19"/>
        <v>0</v>
      </c>
      <c r="Q94" s="186"/>
      <c r="R94" s="68">
        <f t="shared" si="15"/>
        <v>0</v>
      </c>
      <c r="S94" s="69"/>
      <c r="T94" s="70"/>
      <c r="U94" s="758">
        <f t="shared" si="21"/>
        <v>1643.480000000003</v>
      </c>
      <c r="V94" s="1225">
        <f t="shared" si="17"/>
        <v>362</v>
      </c>
      <c r="W94" s="59">
        <f t="shared" si="23"/>
        <v>0</v>
      </c>
    </row>
    <row r="95" spans="2:23" x14ac:dyDescent="0.25">
      <c r="B95" s="129">
        <v>4.54</v>
      </c>
      <c r="C95" s="15"/>
      <c r="D95" s="68">
        <f t="shared" si="18"/>
        <v>0</v>
      </c>
      <c r="E95" s="186"/>
      <c r="F95" s="68">
        <f t="shared" si="14"/>
        <v>0</v>
      </c>
      <c r="G95" s="69"/>
      <c r="H95" s="70"/>
      <c r="I95" s="758">
        <f t="shared" si="20"/>
        <v>0</v>
      </c>
      <c r="J95" s="1070">
        <f t="shared" si="16"/>
        <v>0</v>
      </c>
      <c r="K95" s="59">
        <f t="shared" si="22"/>
        <v>0</v>
      </c>
      <c r="N95" s="129">
        <v>4.54</v>
      </c>
      <c r="O95" s="15"/>
      <c r="P95" s="68">
        <f t="shared" si="19"/>
        <v>0</v>
      </c>
      <c r="Q95" s="186"/>
      <c r="R95" s="68">
        <f t="shared" si="15"/>
        <v>0</v>
      </c>
      <c r="S95" s="69"/>
      <c r="T95" s="70"/>
      <c r="U95" s="758">
        <f t="shared" si="21"/>
        <v>1643.480000000003</v>
      </c>
      <c r="V95" s="1225">
        <f t="shared" si="17"/>
        <v>362</v>
      </c>
      <c r="W95" s="59">
        <f t="shared" si="23"/>
        <v>0</v>
      </c>
    </row>
    <row r="96" spans="2:23" x14ac:dyDescent="0.25">
      <c r="B96" s="129">
        <v>4.54</v>
      </c>
      <c r="C96" s="15"/>
      <c r="D96" s="68">
        <f t="shared" si="18"/>
        <v>0</v>
      </c>
      <c r="E96" s="186"/>
      <c r="F96" s="68">
        <f t="shared" si="14"/>
        <v>0</v>
      </c>
      <c r="G96" s="69"/>
      <c r="H96" s="70"/>
      <c r="I96" s="758">
        <f t="shared" si="20"/>
        <v>0</v>
      </c>
      <c r="J96" s="1070">
        <f t="shared" si="16"/>
        <v>0</v>
      </c>
      <c r="K96" s="59">
        <f t="shared" si="22"/>
        <v>0</v>
      </c>
      <c r="N96" s="129">
        <v>4.54</v>
      </c>
      <c r="O96" s="15"/>
      <c r="P96" s="68">
        <f t="shared" si="19"/>
        <v>0</v>
      </c>
      <c r="Q96" s="186"/>
      <c r="R96" s="68">
        <f t="shared" si="15"/>
        <v>0</v>
      </c>
      <c r="S96" s="69"/>
      <c r="T96" s="70"/>
      <c r="U96" s="758">
        <f t="shared" si="21"/>
        <v>1643.480000000003</v>
      </c>
      <c r="V96" s="1225">
        <f t="shared" si="17"/>
        <v>362</v>
      </c>
      <c r="W96" s="59">
        <f t="shared" si="23"/>
        <v>0</v>
      </c>
    </row>
    <row r="97" spans="2:23" x14ac:dyDescent="0.25">
      <c r="B97" s="129">
        <v>4.54</v>
      </c>
      <c r="C97" s="15"/>
      <c r="D97" s="68">
        <f t="shared" si="18"/>
        <v>0</v>
      </c>
      <c r="E97" s="186"/>
      <c r="F97" s="68">
        <f t="shared" si="14"/>
        <v>0</v>
      </c>
      <c r="G97" s="69"/>
      <c r="H97" s="70"/>
      <c r="I97" s="758">
        <f t="shared" si="20"/>
        <v>0</v>
      </c>
      <c r="J97" s="1070">
        <f t="shared" si="16"/>
        <v>0</v>
      </c>
      <c r="K97" s="59">
        <f t="shared" si="22"/>
        <v>0</v>
      </c>
      <c r="N97" s="129">
        <v>4.54</v>
      </c>
      <c r="O97" s="15"/>
      <c r="P97" s="68">
        <f t="shared" si="19"/>
        <v>0</v>
      </c>
      <c r="Q97" s="186"/>
      <c r="R97" s="68">
        <f t="shared" si="15"/>
        <v>0</v>
      </c>
      <c r="S97" s="69"/>
      <c r="T97" s="70"/>
      <c r="U97" s="758">
        <f t="shared" si="21"/>
        <v>1643.480000000003</v>
      </c>
      <c r="V97" s="1225">
        <f t="shared" si="17"/>
        <v>362</v>
      </c>
      <c r="W97" s="59">
        <f t="shared" si="23"/>
        <v>0</v>
      </c>
    </row>
    <row r="98" spans="2:23" x14ac:dyDescent="0.25">
      <c r="B98" s="129">
        <v>4.54</v>
      </c>
      <c r="C98" s="15"/>
      <c r="D98" s="68">
        <f t="shared" si="18"/>
        <v>0</v>
      </c>
      <c r="E98" s="186"/>
      <c r="F98" s="68">
        <f t="shared" si="14"/>
        <v>0</v>
      </c>
      <c r="G98" s="69"/>
      <c r="H98" s="70"/>
      <c r="I98" s="758">
        <f t="shared" si="20"/>
        <v>0</v>
      </c>
      <c r="J98" s="1070">
        <f t="shared" si="16"/>
        <v>0</v>
      </c>
      <c r="K98" s="59">
        <f t="shared" si="22"/>
        <v>0</v>
      </c>
      <c r="N98" s="129">
        <v>4.54</v>
      </c>
      <c r="O98" s="15"/>
      <c r="P98" s="68">
        <f t="shared" si="19"/>
        <v>0</v>
      </c>
      <c r="Q98" s="186"/>
      <c r="R98" s="68">
        <f t="shared" si="15"/>
        <v>0</v>
      </c>
      <c r="S98" s="69"/>
      <c r="T98" s="70"/>
      <c r="U98" s="758">
        <f t="shared" si="21"/>
        <v>1643.480000000003</v>
      </c>
      <c r="V98" s="1225">
        <f t="shared" si="17"/>
        <v>362</v>
      </c>
      <c r="W98" s="59">
        <f t="shared" si="23"/>
        <v>0</v>
      </c>
    </row>
    <row r="99" spans="2:23" x14ac:dyDescent="0.25">
      <c r="B99" s="129">
        <v>4.54</v>
      </c>
      <c r="C99" s="15"/>
      <c r="D99" s="68">
        <f t="shared" si="18"/>
        <v>0</v>
      </c>
      <c r="E99" s="186"/>
      <c r="F99" s="68">
        <f t="shared" si="14"/>
        <v>0</v>
      </c>
      <c r="G99" s="69"/>
      <c r="H99" s="70"/>
      <c r="I99" s="758">
        <f t="shared" si="20"/>
        <v>0</v>
      </c>
      <c r="J99" s="1070">
        <f t="shared" si="16"/>
        <v>0</v>
      </c>
      <c r="K99" s="59">
        <f t="shared" si="22"/>
        <v>0</v>
      </c>
      <c r="N99" s="129">
        <v>4.54</v>
      </c>
      <c r="O99" s="15"/>
      <c r="P99" s="68">
        <f t="shared" si="19"/>
        <v>0</v>
      </c>
      <c r="Q99" s="186"/>
      <c r="R99" s="68">
        <f t="shared" si="15"/>
        <v>0</v>
      </c>
      <c r="S99" s="69"/>
      <c r="T99" s="70"/>
      <c r="U99" s="758">
        <f t="shared" si="21"/>
        <v>1643.480000000003</v>
      </c>
      <c r="V99" s="1225">
        <f t="shared" si="17"/>
        <v>362</v>
      </c>
      <c r="W99" s="59">
        <f t="shared" si="23"/>
        <v>0</v>
      </c>
    </row>
    <row r="100" spans="2:23" x14ac:dyDescent="0.25">
      <c r="B100" s="129">
        <v>4.54</v>
      </c>
      <c r="C100" s="15"/>
      <c r="D100" s="68">
        <f t="shared" si="18"/>
        <v>0</v>
      </c>
      <c r="E100" s="186"/>
      <c r="F100" s="68">
        <f t="shared" si="14"/>
        <v>0</v>
      </c>
      <c r="G100" s="69"/>
      <c r="H100" s="70"/>
      <c r="I100" s="758">
        <f t="shared" si="20"/>
        <v>0</v>
      </c>
      <c r="J100" s="1070">
        <f t="shared" si="16"/>
        <v>0</v>
      </c>
      <c r="K100" s="59">
        <f t="shared" si="22"/>
        <v>0</v>
      </c>
      <c r="N100" s="129">
        <v>4.54</v>
      </c>
      <c r="O100" s="15"/>
      <c r="P100" s="68">
        <f t="shared" si="19"/>
        <v>0</v>
      </c>
      <c r="Q100" s="186"/>
      <c r="R100" s="68">
        <f t="shared" si="15"/>
        <v>0</v>
      </c>
      <c r="S100" s="69"/>
      <c r="T100" s="70"/>
      <c r="U100" s="758">
        <f t="shared" si="21"/>
        <v>1643.480000000003</v>
      </c>
      <c r="V100" s="1225">
        <f t="shared" si="17"/>
        <v>362</v>
      </c>
      <c r="W100" s="59">
        <f t="shared" si="23"/>
        <v>0</v>
      </c>
    </row>
    <row r="101" spans="2:23" x14ac:dyDescent="0.25">
      <c r="B101" s="129">
        <v>4.54</v>
      </c>
      <c r="C101" s="15"/>
      <c r="D101" s="68">
        <f t="shared" si="18"/>
        <v>0</v>
      </c>
      <c r="E101" s="186"/>
      <c r="F101" s="68">
        <f t="shared" si="14"/>
        <v>0</v>
      </c>
      <c r="G101" s="69"/>
      <c r="H101" s="70"/>
      <c r="I101" s="758">
        <f t="shared" si="20"/>
        <v>0</v>
      </c>
      <c r="J101" s="1070">
        <f t="shared" si="16"/>
        <v>0</v>
      </c>
      <c r="K101" s="59">
        <f t="shared" si="22"/>
        <v>0</v>
      </c>
      <c r="N101" s="129">
        <v>4.54</v>
      </c>
      <c r="O101" s="15"/>
      <c r="P101" s="68">
        <f t="shared" si="19"/>
        <v>0</v>
      </c>
      <c r="Q101" s="186"/>
      <c r="R101" s="68">
        <f t="shared" si="15"/>
        <v>0</v>
      </c>
      <c r="S101" s="69"/>
      <c r="T101" s="70"/>
      <c r="U101" s="758">
        <f t="shared" si="21"/>
        <v>1643.480000000003</v>
      </c>
      <c r="V101" s="1225">
        <f t="shared" si="17"/>
        <v>362</v>
      </c>
      <c r="W101" s="59">
        <f t="shared" si="23"/>
        <v>0</v>
      </c>
    </row>
    <row r="102" spans="2:23" x14ac:dyDescent="0.25">
      <c r="B102" s="129">
        <v>4.54</v>
      </c>
      <c r="C102" s="15"/>
      <c r="D102" s="68">
        <f t="shared" si="18"/>
        <v>0</v>
      </c>
      <c r="E102" s="186"/>
      <c r="F102" s="68">
        <f t="shared" si="14"/>
        <v>0</v>
      </c>
      <c r="G102" s="69"/>
      <c r="H102" s="70"/>
      <c r="I102" s="758">
        <f t="shared" si="20"/>
        <v>0</v>
      </c>
      <c r="J102" s="1070">
        <f t="shared" si="16"/>
        <v>0</v>
      </c>
      <c r="K102" s="59">
        <f t="shared" si="22"/>
        <v>0</v>
      </c>
      <c r="N102" s="129">
        <v>4.54</v>
      </c>
      <c r="O102" s="15"/>
      <c r="P102" s="68">
        <f t="shared" si="19"/>
        <v>0</v>
      </c>
      <c r="Q102" s="186"/>
      <c r="R102" s="68">
        <f t="shared" si="15"/>
        <v>0</v>
      </c>
      <c r="S102" s="69"/>
      <c r="T102" s="70"/>
      <c r="U102" s="758">
        <f t="shared" si="21"/>
        <v>1643.480000000003</v>
      </c>
      <c r="V102" s="1225">
        <f t="shared" si="17"/>
        <v>362</v>
      </c>
      <c r="W102" s="59">
        <f t="shared" si="23"/>
        <v>0</v>
      </c>
    </row>
    <row r="103" spans="2:23" x14ac:dyDescent="0.25">
      <c r="B103" s="129">
        <v>4.54</v>
      </c>
      <c r="C103" s="15"/>
      <c r="D103" s="68">
        <f t="shared" si="18"/>
        <v>0</v>
      </c>
      <c r="E103" s="186"/>
      <c r="F103" s="68">
        <f t="shared" si="14"/>
        <v>0</v>
      </c>
      <c r="G103" s="69"/>
      <c r="H103" s="70"/>
      <c r="I103" s="758">
        <f t="shared" si="20"/>
        <v>0</v>
      </c>
      <c r="J103" s="1070">
        <f t="shared" si="16"/>
        <v>0</v>
      </c>
      <c r="K103" s="59">
        <f t="shared" si="22"/>
        <v>0</v>
      </c>
      <c r="N103" s="129">
        <v>4.54</v>
      </c>
      <c r="O103" s="15"/>
      <c r="P103" s="68">
        <f t="shared" si="19"/>
        <v>0</v>
      </c>
      <c r="Q103" s="186"/>
      <c r="R103" s="68">
        <f t="shared" si="15"/>
        <v>0</v>
      </c>
      <c r="S103" s="69"/>
      <c r="T103" s="70"/>
      <c r="U103" s="758">
        <f t="shared" si="21"/>
        <v>1643.480000000003</v>
      </c>
      <c r="V103" s="1225">
        <f t="shared" si="17"/>
        <v>362</v>
      </c>
      <c r="W103" s="59">
        <f t="shared" si="23"/>
        <v>0</v>
      </c>
    </row>
    <row r="104" spans="2:23" x14ac:dyDescent="0.25">
      <c r="B104" s="129">
        <v>4.54</v>
      </c>
      <c r="C104" s="15"/>
      <c r="D104" s="68">
        <f t="shared" si="18"/>
        <v>0</v>
      </c>
      <c r="E104" s="186"/>
      <c r="F104" s="68">
        <f t="shared" si="14"/>
        <v>0</v>
      </c>
      <c r="G104" s="69"/>
      <c r="H104" s="70"/>
      <c r="I104" s="758">
        <f t="shared" si="20"/>
        <v>0</v>
      </c>
      <c r="J104" s="1070">
        <f t="shared" si="16"/>
        <v>0</v>
      </c>
      <c r="K104" s="59">
        <f t="shared" si="22"/>
        <v>0</v>
      </c>
      <c r="N104" s="129">
        <v>4.54</v>
      </c>
      <c r="O104" s="15"/>
      <c r="P104" s="68">
        <f t="shared" si="19"/>
        <v>0</v>
      </c>
      <c r="Q104" s="186"/>
      <c r="R104" s="68">
        <f t="shared" si="15"/>
        <v>0</v>
      </c>
      <c r="S104" s="69"/>
      <c r="T104" s="70"/>
      <c r="U104" s="758">
        <f t="shared" si="21"/>
        <v>1643.480000000003</v>
      </c>
      <c r="V104" s="1225">
        <f t="shared" si="17"/>
        <v>362</v>
      </c>
      <c r="W104" s="59">
        <f t="shared" si="23"/>
        <v>0</v>
      </c>
    </row>
    <row r="105" spans="2:23" x14ac:dyDescent="0.25">
      <c r="B105" s="129">
        <v>4.54</v>
      </c>
      <c r="C105" s="15"/>
      <c r="D105" s="68">
        <f t="shared" si="18"/>
        <v>0</v>
      </c>
      <c r="E105" s="186"/>
      <c r="F105" s="68">
        <f t="shared" si="14"/>
        <v>0</v>
      </c>
      <c r="G105" s="69"/>
      <c r="H105" s="70"/>
      <c r="I105" s="758">
        <f t="shared" si="20"/>
        <v>0</v>
      </c>
      <c r="J105" s="1070">
        <f t="shared" si="16"/>
        <v>0</v>
      </c>
      <c r="K105" s="59">
        <f t="shared" si="22"/>
        <v>0</v>
      </c>
      <c r="N105" s="129">
        <v>4.54</v>
      </c>
      <c r="O105" s="15"/>
      <c r="P105" s="68">
        <f t="shared" si="19"/>
        <v>0</v>
      </c>
      <c r="Q105" s="186"/>
      <c r="R105" s="68">
        <f t="shared" si="15"/>
        <v>0</v>
      </c>
      <c r="S105" s="69"/>
      <c r="T105" s="70"/>
      <c r="U105" s="758">
        <f t="shared" si="21"/>
        <v>1643.480000000003</v>
      </c>
      <c r="V105" s="1225">
        <f t="shared" si="17"/>
        <v>362</v>
      </c>
      <c r="W105" s="59">
        <f t="shared" si="23"/>
        <v>0</v>
      </c>
    </row>
    <row r="106" spans="2:23" x14ac:dyDescent="0.25">
      <c r="B106" s="129">
        <v>4.54</v>
      </c>
      <c r="C106" s="15"/>
      <c r="D106" s="68">
        <f t="shared" si="18"/>
        <v>0</v>
      </c>
      <c r="E106" s="186"/>
      <c r="F106" s="68">
        <f t="shared" si="14"/>
        <v>0</v>
      </c>
      <c r="G106" s="69"/>
      <c r="H106" s="70"/>
      <c r="I106" s="758">
        <f t="shared" si="20"/>
        <v>0</v>
      </c>
      <c r="J106" s="1070">
        <f t="shared" si="16"/>
        <v>0</v>
      </c>
      <c r="K106" s="59">
        <f t="shared" si="22"/>
        <v>0</v>
      </c>
      <c r="N106" s="129">
        <v>4.54</v>
      </c>
      <c r="O106" s="15"/>
      <c r="P106" s="68">
        <f t="shared" si="19"/>
        <v>0</v>
      </c>
      <c r="Q106" s="186"/>
      <c r="R106" s="68">
        <f t="shared" si="15"/>
        <v>0</v>
      </c>
      <c r="S106" s="69"/>
      <c r="T106" s="70"/>
      <c r="U106" s="758">
        <f t="shared" si="21"/>
        <v>1643.480000000003</v>
      </c>
      <c r="V106" s="1225">
        <f t="shared" si="17"/>
        <v>362</v>
      </c>
      <c r="W106" s="59">
        <f t="shared" si="23"/>
        <v>0</v>
      </c>
    </row>
    <row r="107" spans="2:23" x14ac:dyDescent="0.25">
      <c r="B107" s="129">
        <v>4.54</v>
      </c>
      <c r="C107" s="15"/>
      <c r="D107" s="68">
        <f t="shared" si="18"/>
        <v>0</v>
      </c>
      <c r="E107" s="186"/>
      <c r="F107" s="68">
        <f t="shared" si="14"/>
        <v>0</v>
      </c>
      <c r="G107" s="69"/>
      <c r="H107" s="70"/>
      <c r="I107" s="758">
        <f t="shared" si="20"/>
        <v>0</v>
      </c>
      <c r="J107" s="1070">
        <f t="shared" si="16"/>
        <v>0</v>
      </c>
      <c r="K107" s="59">
        <f t="shared" si="22"/>
        <v>0</v>
      </c>
      <c r="N107" s="129">
        <v>4.54</v>
      </c>
      <c r="O107" s="15"/>
      <c r="P107" s="68">
        <f t="shared" si="19"/>
        <v>0</v>
      </c>
      <c r="Q107" s="186"/>
      <c r="R107" s="68">
        <f t="shared" si="15"/>
        <v>0</v>
      </c>
      <c r="S107" s="69"/>
      <c r="T107" s="70"/>
      <c r="U107" s="758">
        <f t="shared" si="21"/>
        <v>1643.480000000003</v>
      </c>
      <c r="V107" s="1225">
        <f t="shared" si="17"/>
        <v>362</v>
      </c>
      <c r="W107" s="59">
        <f t="shared" si="23"/>
        <v>0</v>
      </c>
    </row>
    <row r="108" spans="2:23" x14ac:dyDescent="0.25">
      <c r="B108" s="129">
        <v>4.54</v>
      </c>
      <c r="C108" s="15"/>
      <c r="D108" s="68">
        <f t="shared" si="18"/>
        <v>0</v>
      </c>
      <c r="E108" s="186"/>
      <c r="F108" s="68">
        <f t="shared" si="14"/>
        <v>0</v>
      </c>
      <c r="G108" s="69"/>
      <c r="H108" s="70"/>
      <c r="I108" s="758">
        <f t="shared" si="20"/>
        <v>0</v>
      </c>
      <c r="J108" s="1070">
        <f t="shared" ref="J108" si="24">J107-C108</f>
        <v>0</v>
      </c>
      <c r="K108" s="59">
        <f t="shared" si="22"/>
        <v>0</v>
      </c>
      <c r="N108" s="129">
        <v>4.54</v>
      </c>
      <c r="O108" s="15"/>
      <c r="P108" s="68">
        <f t="shared" si="19"/>
        <v>0</v>
      </c>
      <c r="Q108" s="186"/>
      <c r="R108" s="68">
        <f t="shared" si="15"/>
        <v>0</v>
      </c>
      <c r="S108" s="69"/>
      <c r="T108" s="70"/>
      <c r="U108" s="758">
        <f t="shared" si="21"/>
        <v>1643.480000000003</v>
      </c>
      <c r="V108" s="1225">
        <f t="shared" ref="V108" si="25">V107-O108</f>
        <v>362</v>
      </c>
      <c r="W108" s="59">
        <f t="shared" si="23"/>
        <v>0</v>
      </c>
    </row>
    <row r="109" spans="2:23" ht="15.75" thickBot="1" x14ac:dyDescent="0.3">
      <c r="B109" s="129">
        <v>4.54</v>
      </c>
      <c r="C109" s="37"/>
      <c r="D109" s="489">
        <f t="shared" si="18"/>
        <v>0</v>
      </c>
      <c r="E109" s="188"/>
      <c r="F109" s="146">
        <f t="shared" si="14"/>
        <v>0</v>
      </c>
      <c r="G109" s="135"/>
      <c r="H109" s="189"/>
      <c r="I109" s="128"/>
      <c r="J109" s="1070"/>
      <c r="N109" s="129">
        <v>4.54</v>
      </c>
      <c r="O109" s="37"/>
      <c r="P109" s="489">
        <f t="shared" si="19"/>
        <v>0</v>
      </c>
      <c r="Q109" s="188"/>
      <c r="R109" s="146">
        <f t="shared" si="15"/>
        <v>0</v>
      </c>
      <c r="S109" s="135"/>
      <c r="T109" s="189"/>
      <c r="U109" s="128"/>
      <c r="V109" s="1225"/>
    </row>
    <row r="110" spans="2:23" ht="15.75" thickTop="1" x14ac:dyDescent="0.25">
      <c r="C110" s="15">
        <f>SUM(C10:C109)</f>
        <v>668</v>
      </c>
      <c r="D110" s="6">
        <f>SUM(D10:D109)</f>
        <v>3032.72</v>
      </c>
      <c r="E110" s="13"/>
      <c r="F110" s="6">
        <f>SUM(F10:F109)</f>
        <v>3032.72</v>
      </c>
      <c r="G110" s="31"/>
      <c r="H110" s="17"/>
      <c r="I110" s="128"/>
      <c r="J110" s="1070"/>
      <c r="O110" s="15">
        <f>SUM(O10:O109)</f>
        <v>1007</v>
      </c>
      <c r="P110" s="6">
        <f>SUM(P10:P109)</f>
        <v>4571.7799999999988</v>
      </c>
      <c r="Q110" s="13"/>
      <c r="R110" s="6">
        <f>SUM(R10:R109)</f>
        <v>4571.7799999999988</v>
      </c>
      <c r="S110" s="31"/>
      <c r="T110" s="17"/>
      <c r="U110" s="128"/>
      <c r="V110" s="1225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070"/>
      <c r="O111" s="15"/>
      <c r="P111" s="6"/>
      <c r="Q111" s="13"/>
      <c r="R111" s="6"/>
      <c r="S111" s="31"/>
      <c r="T111" s="17"/>
      <c r="U111" s="128"/>
      <c r="V111" s="1225"/>
    </row>
    <row r="112" spans="2:23" x14ac:dyDescent="0.25">
      <c r="C112" s="50" t="s">
        <v>4</v>
      </c>
      <c r="D112" s="196">
        <f>F4+F5-C110+F6+F8</f>
        <v>-5</v>
      </c>
      <c r="E112" s="40"/>
      <c r="F112" s="6"/>
      <c r="G112" s="31"/>
      <c r="H112" s="17"/>
      <c r="I112" s="128"/>
      <c r="J112" s="1070"/>
      <c r="O112" s="50" t="s">
        <v>4</v>
      </c>
      <c r="P112" s="196">
        <f>R4+R5-O110+R6+R8</f>
        <v>329</v>
      </c>
      <c r="Q112" s="40"/>
      <c r="R112" s="6"/>
      <c r="S112" s="31"/>
      <c r="T112" s="17"/>
      <c r="U112" s="128"/>
      <c r="V112" s="1225"/>
    </row>
    <row r="113" spans="3:22" x14ac:dyDescent="0.25">
      <c r="C113" s="1725" t="s">
        <v>19</v>
      </c>
      <c r="D113" s="1726"/>
      <c r="E113" s="39">
        <f>E4+E5-F110+E6+E8</f>
        <v>-22.699999999999704</v>
      </c>
      <c r="F113" s="6"/>
      <c r="G113" s="6"/>
      <c r="H113" s="17"/>
      <c r="I113" s="128"/>
      <c r="J113" s="1070"/>
      <c r="O113" s="1725" t="s">
        <v>19</v>
      </c>
      <c r="P113" s="1726"/>
      <c r="Q113" s="39">
        <f>Q4+Q5-R110+Q6+Q8</f>
        <v>1493.6600000000012</v>
      </c>
      <c r="R113" s="6"/>
      <c r="S113" s="6"/>
      <c r="T113" s="17"/>
      <c r="U113" s="128"/>
      <c r="V113" s="1225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070"/>
      <c r="O114" s="44"/>
      <c r="P114" s="43"/>
      <c r="Q114" s="41"/>
      <c r="R114" s="6"/>
      <c r="S114" s="31"/>
      <c r="T114" s="17"/>
      <c r="U114" s="128"/>
      <c r="V114" s="1225"/>
    </row>
    <row r="115" spans="3:22" x14ac:dyDescent="0.25">
      <c r="C115" s="15"/>
      <c r="D115" s="6"/>
      <c r="E115" s="13"/>
      <c r="F115" s="6"/>
      <c r="G115" s="31"/>
      <c r="H115" s="17"/>
      <c r="I115" s="128"/>
      <c r="J115" s="1070"/>
      <c r="O115" s="15"/>
      <c r="P115" s="6"/>
      <c r="Q115" s="13"/>
      <c r="R115" s="6"/>
      <c r="S115" s="31"/>
      <c r="T115" s="17"/>
      <c r="U115" s="128"/>
      <c r="V115" s="1225"/>
    </row>
    <row r="116" spans="3:22" x14ac:dyDescent="0.25">
      <c r="I116" s="128"/>
      <c r="J116" s="1070"/>
      <c r="U116" s="128"/>
      <c r="V116" s="1225"/>
    </row>
  </sheetData>
  <sortState ref="O4:R7">
    <sortCondition ref="P4:P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61"/>
      <c r="B5" s="1661"/>
      <c r="C5" s="362"/>
      <c r="D5" s="578"/>
      <c r="E5" s="713"/>
      <c r="F5" s="664"/>
      <c r="G5" s="5"/>
    </row>
    <row r="6" spans="1:9" x14ac:dyDescent="0.25">
      <c r="A6" s="1661"/>
      <c r="B6" s="1661"/>
      <c r="C6" s="216"/>
      <c r="D6" s="578"/>
      <c r="E6" s="644"/>
      <c r="F6" s="664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2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565">
        <f>D12</f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565">
        <f t="shared" ref="F13:F73" si="3">D13</f>
        <v>0</v>
      </c>
      <c r="G13" s="563"/>
      <c r="H13" s="564"/>
      <c r="I13" s="59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565">
        <f t="shared" si="3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92"/>
      <c r="F19" s="565">
        <f t="shared" si="3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65" t="s">
        <v>11</v>
      </c>
      <c r="D83" s="166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workbookViewId="0">
      <selection activeCell="B22" sqref="B2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663" t="s">
        <v>321</v>
      </c>
      <c r="B1" s="1663"/>
      <c r="C1" s="1663"/>
      <c r="D1" s="1663"/>
      <c r="E1" s="1663"/>
      <c r="F1" s="1663"/>
      <c r="G1" s="1663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1016">
        <v>115</v>
      </c>
      <c r="G4" s="1016"/>
    </row>
    <row r="5" spans="1:10" ht="15.75" customHeight="1" x14ac:dyDescent="0.25">
      <c r="A5" s="1727" t="s">
        <v>116</v>
      </c>
      <c r="B5" s="1680" t="s">
        <v>115</v>
      </c>
      <c r="C5" s="892"/>
      <c r="D5" s="893"/>
      <c r="E5" s="894">
        <v>169.39</v>
      </c>
      <c r="F5" s="133">
        <v>3</v>
      </c>
      <c r="G5" s="560">
        <f>F46</f>
        <v>2030.81</v>
      </c>
      <c r="H5" s="134">
        <f>E4+E5-G5+E6+E7</f>
        <v>1174.9499999999998</v>
      </c>
    </row>
    <row r="6" spans="1:10" ht="15.75" thickBot="1" x14ac:dyDescent="0.3">
      <c r="A6" s="1728"/>
      <c r="B6" s="1680"/>
      <c r="C6" s="190"/>
      <c r="D6" s="145"/>
      <c r="E6" s="102"/>
      <c r="F6" s="1016"/>
    </row>
    <row r="7" spans="1:10" ht="15.75" customHeight="1" thickBot="1" x14ac:dyDescent="0.3">
      <c r="B7" s="12"/>
      <c r="C7" s="190"/>
      <c r="D7" s="145"/>
      <c r="E7" s="102"/>
      <c r="F7" s="1016"/>
      <c r="I7" s="1729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730"/>
    </row>
    <row r="9" spans="1:10" ht="15.75" thickTop="1" x14ac:dyDescent="0.25">
      <c r="A9" s="1016"/>
      <c r="B9" s="642">
        <f>F4++F5+F6+F7-C9</f>
        <v>118</v>
      </c>
      <c r="C9" s="624"/>
      <c r="D9" s="562">
        <v>0</v>
      </c>
      <c r="E9" s="645">
        <v>0</v>
      </c>
      <c r="F9" s="565">
        <f>D9</f>
        <v>0</v>
      </c>
      <c r="G9" s="563">
        <v>0</v>
      </c>
      <c r="H9" s="564">
        <v>0</v>
      </c>
      <c r="I9" s="1198">
        <f>E4+E5+E6+E7-F9</f>
        <v>3205.7599999999998</v>
      </c>
      <c r="J9" s="594"/>
    </row>
    <row r="10" spans="1:10" x14ac:dyDescent="0.25">
      <c r="B10" s="724">
        <f>B9-C10</f>
        <v>113</v>
      </c>
      <c r="C10" s="624">
        <v>5</v>
      </c>
      <c r="D10" s="562">
        <v>134.02000000000001</v>
      </c>
      <c r="E10" s="645">
        <v>45089</v>
      </c>
      <c r="F10" s="565">
        <f t="shared" ref="F10:F44" si="0">D10</f>
        <v>134.02000000000001</v>
      </c>
      <c r="G10" s="563" t="s">
        <v>219</v>
      </c>
      <c r="H10" s="564">
        <v>46</v>
      </c>
      <c r="I10" s="1199">
        <f>I9-F10</f>
        <v>3071.74</v>
      </c>
      <c r="J10" s="594"/>
    </row>
    <row r="11" spans="1:10" x14ac:dyDescent="0.25">
      <c r="A11" s="54" t="s">
        <v>32</v>
      </c>
      <c r="B11" s="724">
        <f t="shared" ref="B11:B45" si="1">B10-C11</f>
        <v>107</v>
      </c>
      <c r="C11" s="624">
        <v>6</v>
      </c>
      <c r="D11" s="562">
        <v>150.87</v>
      </c>
      <c r="E11" s="645">
        <v>45091</v>
      </c>
      <c r="F11" s="565">
        <f t="shared" si="0"/>
        <v>150.87</v>
      </c>
      <c r="G11" s="563" t="s">
        <v>226</v>
      </c>
      <c r="H11" s="564">
        <v>46</v>
      </c>
      <c r="I11" s="1199">
        <f t="shared" ref="I11:I45" si="2">I10-F11</f>
        <v>2920.87</v>
      </c>
      <c r="J11" s="594"/>
    </row>
    <row r="12" spans="1:10" x14ac:dyDescent="0.25">
      <c r="A12" s="84"/>
      <c r="B12" s="724">
        <f t="shared" si="1"/>
        <v>105</v>
      </c>
      <c r="C12" s="624">
        <v>2</v>
      </c>
      <c r="D12" s="562">
        <v>53.45</v>
      </c>
      <c r="E12" s="645">
        <v>45091</v>
      </c>
      <c r="F12" s="565">
        <f t="shared" si="0"/>
        <v>53.45</v>
      </c>
      <c r="G12" s="563" t="s">
        <v>226</v>
      </c>
      <c r="H12" s="564">
        <v>46</v>
      </c>
      <c r="I12" s="1199">
        <f t="shared" si="2"/>
        <v>2867.42</v>
      </c>
      <c r="J12" s="594"/>
    </row>
    <row r="13" spans="1:10" x14ac:dyDescent="0.25">
      <c r="B13" s="724">
        <f t="shared" si="1"/>
        <v>97</v>
      </c>
      <c r="C13" s="624">
        <v>8</v>
      </c>
      <c r="D13" s="562">
        <v>228.83</v>
      </c>
      <c r="E13" s="645">
        <v>45093</v>
      </c>
      <c r="F13" s="565">
        <f t="shared" si="0"/>
        <v>228.83</v>
      </c>
      <c r="G13" s="563" t="s">
        <v>231</v>
      </c>
      <c r="H13" s="564">
        <v>46</v>
      </c>
      <c r="I13" s="1199">
        <f t="shared" si="2"/>
        <v>2638.59</v>
      </c>
      <c r="J13" s="594"/>
    </row>
    <row r="14" spans="1:10" x14ac:dyDescent="0.25">
      <c r="A14" s="54" t="s">
        <v>33</v>
      </c>
      <c r="B14" s="724">
        <f t="shared" si="1"/>
        <v>90</v>
      </c>
      <c r="C14" s="624">
        <v>7</v>
      </c>
      <c r="D14" s="562">
        <v>194.28</v>
      </c>
      <c r="E14" s="645">
        <v>45103</v>
      </c>
      <c r="F14" s="565">
        <f t="shared" si="0"/>
        <v>194.28</v>
      </c>
      <c r="G14" s="563" t="s">
        <v>270</v>
      </c>
      <c r="H14" s="564">
        <v>46</v>
      </c>
      <c r="I14" s="1199">
        <f t="shared" si="2"/>
        <v>2444.31</v>
      </c>
      <c r="J14" s="594"/>
    </row>
    <row r="15" spans="1:10" x14ac:dyDescent="0.25">
      <c r="B15" s="724">
        <f t="shared" si="1"/>
        <v>85</v>
      </c>
      <c r="C15" s="624">
        <v>5</v>
      </c>
      <c r="D15" s="562">
        <v>126.91</v>
      </c>
      <c r="E15" s="645">
        <v>45105</v>
      </c>
      <c r="F15" s="565">
        <f t="shared" si="0"/>
        <v>126.91</v>
      </c>
      <c r="G15" s="563" t="s">
        <v>286</v>
      </c>
      <c r="H15" s="564">
        <v>46</v>
      </c>
      <c r="I15" s="1199">
        <f t="shared" si="2"/>
        <v>2317.4</v>
      </c>
      <c r="J15" s="594"/>
    </row>
    <row r="16" spans="1:10" x14ac:dyDescent="0.25">
      <c r="B16" s="642">
        <f t="shared" si="1"/>
        <v>79</v>
      </c>
      <c r="C16" s="624">
        <v>6</v>
      </c>
      <c r="D16" s="562">
        <v>158.38999999999999</v>
      </c>
      <c r="E16" s="645">
        <v>45105</v>
      </c>
      <c r="F16" s="565">
        <f t="shared" si="0"/>
        <v>158.38999999999999</v>
      </c>
      <c r="G16" s="563" t="s">
        <v>287</v>
      </c>
      <c r="H16" s="564">
        <v>46</v>
      </c>
      <c r="I16" s="1198">
        <f t="shared" si="2"/>
        <v>2159.0100000000002</v>
      </c>
      <c r="J16" s="594"/>
    </row>
    <row r="17" spans="2:10" x14ac:dyDescent="0.25">
      <c r="B17" s="724">
        <f t="shared" si="1"/>
        <v>79</v>
      </c>
      <c r="C17" s="624"/>
      <c r="D17" s="562"/>
      <c r="E17" s="645"/>
      <c r="F17" s="565">
        <f t="shared" si="0"/>
        <v>0</v>
      </c>
      <c r="G17" s="563"/>
      <c r="H17" s="564"/>
      <c r="I17" s="1199">
        <f t="shared" si="2"/>
        <v>2159.0100000000002</v>
      </c>
      <c r="J17" s="594"/>
    </row>
    <row r="18" spans="2:10" x14ac:dyDescent="0.25">
      <c r="B18" s="724">
        <f t="shared" si="1"/>
        <v>76</v>
      </c>
      <c r="C18" s="624">
        <v>3</v>
      </c>
      <c r="D18" s="706">
        <v>84.17</v>
      </c>
      <c r="E18" s="757">
        <v>45114</v>
      </c>
      <c r="F18" s="750">
        <f t="shared" si="0"/>
        <v>84.17</v>
      </c>
      <c r="G18" s="751" t="s">
        <v>536</v>
      </c>
      <c r="H18" s="593">
        <v>46</v>
      </c>
      <c r="I18" s="1199">
        <f t="shared" si="2"/>
        <v>2074.84</v>
      </c>
      <c r="J18" s="594"/>
    </row>
    <row r="19" spans="2:10" x14ac:dyDescent="0.25">
      <c r="B19" s="724">
        <f t="shared" si="1"/>
        <v>67</v>
      </c>
      <c r="C19" s="624">
        <v>9</v>
      </c>
      <c r="D19" s="706">
        <v>232.7</v>
      </c>
      <c r="E19" s="757">
        <v>45119</v>
      </c>
      <c r="F19" s="750">
        <f t="shared" si="0"/>
        <v>232.7</v>
      </c>
      <c r="G19" s="751" t="s">
        <v>581</v>
      </c>
      <c r="H19" s="593">
        <v>46</v>
      </c>
      <c r="I19" s="1199">
        <f t="shared" si="2"/>
        <v>1842.14</v>
      </c>
      <c r="J19" s="594"/>
    </row>
    <row r="20" spans="2:10" x14ac:dyDescent="0.25">
      <c r="B20" s="724">
        <f t="shared" si="1"/>
        <v>57</v>
      </c>
      <c r="C20" s="624">
        <v>10</v>
      </c>
      <c r="D20" s="706">
        <v>237.09</v>
      </c>
      <c r="E20" s="757">
        <v>45120</v>
      </c>
      <c r="F20" s="750">
        <f t="shared" si="0"/>
        <v>237.09</v>
      </c>
      <c r="G20" s="751" t="s">
        <v>589</v>
      </c>
      <c r="H20" s="593">
        <v>46</v>
      </c>
      <c r="I20" s="1199">
        <f t="shared" si="2"/>
        <v>1605.0500000000002</v>
      </c>
      <c r="J20" s="594"/>
    </row>
    <row r="21" spans="2:10" x14ac:dyDescent="0.25">
      <c r="B21" s="724">
        <f t="shared" si="1"/>
        <v>52</v>
      </c>
      <c r="C21" s="624">
        <v>5</v>
      </c>
      <c r="D21" s="706">
        <v>128.56</v>
      </c>
      <c r="E21" s="757">
        <v>45124</v>
      </c>
      <c r="F21" s="750">
        <f t="shared" si="0"/>
        <v>128.56</v>
      </c>
      <c r="G21" s="751" t="s">
        <v>619</v>
      </c>
      <c r="H21" s="593">
        <v>46</v>
      </c>
      <c r="I21" s="1199">
        <f t="shared" si="2"/>
        <v>1476.4900000000002</v>
      </c>
      <c r="J21" s="594"/>
    </row>
    <row r="22" spans="2:10" x14ac:dyDescent="0.25">
      <c r="B22" s="642">
        <f t="shared" si="1"/>
        <v>40</v>
      </c>
      <c r="C22" s="624">
        <v>12</v>
      </c>
      <c r="D22" s="706">
        <v>301.54000000000002</v>
      </c>
      <c r="E22" s="757">
        <v>45133</v>
      </c>
      <c r="F22" s="750">
        <f t="shared" si="0"/>
        <v>301.54000000000002</v>
      </c>
      <c r="G22" s="751" t="s">
        <v>699</v>
      </c>
      <c r="H22" s="593">
        <v>46</v>
      </c>
      <c r="I22" s="1198">
        <f t="shared" si="2"/>
        <v>1174.9500000000003</v>
      </c>
      <c r="J22" s="594"/>
    </row>
    <row r="23" spans="2:10" x14ac:dyDescent="0.25">
      <c r="B23" s="724">
        <f t="shared" si="1"/>
        <v>40</v>
      </c>
      <c r="C23" s="624"/>
      <c r="D23" s="706"/>
      <c r="E23" s="757"/>
      <c r="F23" s="750">
        <f t="shared" si="0"/>
        <v>0</v>
      </c>
      <c r="G23" s="751"/>
      <c r="H23" s="593"/>
      <c r="I23" s="1199">
        <f t="shared" si="2"/>
        <v>1174.9500000000003</v>
      </c>
      <c r="J23" s="594"/>
    </row>
    <row r="24" spans="2:10" x14ac:dyDescent="0.25">
      <c r="B24" s="724">
        <f t="shared" si="1"/>
        <v>40</v>
      </c>
      <c r="C24" s="624"/>
      <c r="D24" s="706"/>
      <c r="E24" s="757"/>
      <c r="F24" s="750">
        <f t="shared" si="0"/>
        <v>0</v>
      </c>
      <c r="G24" s="751"/>
      <c r="H24" s="593"/>
      <c r="I24" s="1199">
        <f t="shared" si="2"/>
        <v>1174.9500000000003</v>
      </c>
      <c r="J24" s="594"/>
    </row>
    <row r="25" spans="2:10" x14ac:dyDescent="0.25">
      <c r="B25" s="724">
        <f t="shared" si="1"/>
        <v>40</v>
      </c>
      <c r="C25" s="624"/>
      <c r="D25" s="706"/>
      <c r="E25" s="757"/>
      <c r="F25" s="750">
        <f t="shared" si="0"/>
        <v>0</v>
      </c>
      <c r="G25" s="751"/>
      <c r="H25" s="593"/>
      <c r="I25" s="1199">
        <f t="shared" si="2"/>
        <v>1174.9500000000003</v>
      </c>
      <c r="J25" s="594"/>
    </row>
    <row r="26" spans="2:10" x14ac:dyDescent="0.25">
      <c r="B26" s="724">
        <f t="shared" si="1"/>
        <v>40</v>
      </c>
      <c r="C26" s="624"/>
      <c r="D26" s="706"/>
      <c r="E26" s="757"/>
      <c r="F26" s="750">
        <f t="shared" si="0"/>
        <v>0</v>
      </c>
      <c r="G26" s="751"/>
      <c r="H26" s="593"/>
      <c r="I26" s="1199">
        <f t="shared" si="2"/>
        <v>1174.9500000000003</v>
      </c>
      <c r="J26" s="594"/>
    </row>
    <row r="27" spans="2:10" x14ac:dyDescent="0.25">
      <c r="B27" s="724">
        <f t="shared" si="1"/>
        <v>40</v>
      </c>
      <c r="C27" s="624"/>
      <c r="D27" s="706"/>
      <c r="E27" s="757"/>
      <c r="F27" s="750">
        <f t="shared" si="0"/>
        <v>0</v>
      </c>
      <c r="G27" s="751"/>
      <c r="H27" s="593"/>
      <c r="I27" s="1199">
        <f t="shared" si="2"/>
        <v>1174.9500000000003</v>
      </c>
    </row>
    <row r="28" spans="2:10" x14ac:dyDescent="0.25">
      <c r="B28" s="724">
        <f t="shared" si="1"/>
        <v>40</v>
      </c>
      <c r="C28" s="624"/>
      <c r="D28" s="750"/>
      <c r="E28" s="757"/>
      <c r="F28" s="750">
        <f t="shared" si="0"/>
        <v>0</v>
      </c>
      <c r="G28" s="751"/>
      <c r="H28" s="593"/>
      <c r="I28" s="1199">
        <f t="shared" si="2"/>
        <v>1174.9500000000003</v>
      </c>
    </row>
    <row r="29" spans="2:10" x14ac:dyDescent="0.25">
      <c r="B29" s="724">
        <f t="shared" si="1"/>
        <v>40</v>
      </c>
      <c r="C29" s="624"/>
      <c r="D29" s="750"/>
      <c r="E29" s="757"/>
      <c r="F29" s="750">
        <f t="shared" si="0"/>
        <v>0</v>
      </c>
      <c r="G29" s="751"/>
      <c r="H29" s="593"/>
      <c r="I29" s="1199">
        <f t="shared" si="2"/>
        <v>1174.9500000000003</v>
      </c>
    </row>
    <row r="30" spans="2:10" x14ac:dyDescent="0.25">
      <c r="B30" s="724">
        <f t="shared" si="1"/>
        <v>40</v>
      </c>
      <c r="C30" s="624"/>
      <c r="D30" s="750"/>
      <c r="E30" s="757"/>
      <c r="F30" s="750">
        <f t="shared" si="0"/>
        <v>0</v>
      </c>
      <c r="G30" s="751"/>
      <c r="H30" s="593"/>
      <c r="I30" s="1199">
        <f t="shared" si="2"/>
        <v>1174.9500000000003</v>
      </c>
    </row>
    <row r="31" spans="2:10" x14ac:dyDescent="0.25">
      <c r="B31" s="724">
        <f t="shared" si="1"/>
        <v>40</v>
      </c>
      <c r="C31" s="624"/>
      <c r="D31" s="750"/>
      <c r="E31" s="757"/>
      <c r="F31" s="750">
        <f t="shared" si="0"/>
        <v>0</v>
      </c>
      <c r="G31" s="751"/>
      <c r="H31" s="593"/>
      <c r="I31" s="1199">
        <f t="shared" si="2"/>
        <v>1174.9500000000003</v>
      </c>
    </row>
    <row r="32" spans="2:10" x14ac:dyDescent="0.25">
      <c r="B32" s="724">
        <f t="shared" si="1"/>
        <v>40</v>
      </c>
      <c r="C32" s="624"/>
      <c r="D32" s="750"/>
      <c r="E32" s="757"/>
      <c r="F32" s="750">
        <f t="shared" si="0"/>
        <v>0</v>
      </c>
      <c r="G32" s="751"/>
      <c r="H32" s="593"/>
      <c r="I32" s="1199">
        <f t="shared" si="2"/>
        <v>1174.9500000000003</v>
      </c>
    </row>
    <row r="33" spans="2:9" x14ac:dyDescent="0.25">
      <c r="B33" s="724">
        <f t="shared" si="1"/>
        <v>40</v>
      </c>
      <c r="C33" s="624"/>
      <c r="D33" s="750"/>
      <c r="E33" s="757"/>
      <c r="F33" s="750">
        <f t="shared" si="0"/>
        <v>0</v>
      </c>
      <c r="G33" s="751"/>
      <c r="H33" s="593"/>
      <c r="I33" s="1199">
        <f t="shared" si="2"/>
        <v>1174.9500000000003</v>
      </c>
    </row>
    <row r="34" spans="2:9" x14ac:dyDescent="0.25">
      <c r="B34" s="724">
        <f t="shared" si="1"/>
        <v>40</v>
      </c>
      <c r="C34" s="624"/>
      <c r="D34" s="750"/>
      <c r="E34" s="757"/>
      <c r="F34" s="750">
        <f t="shared" si="0"/>
        <v>0</v>
      </c>
      <c r="G34" s="751"/>
      <c r="H34" s="593"/>
      <c r="I34" s="1199">
        <f t="shared" si="2"/>
        <v>1174.9500000000003</v>
      </c>
    </row>
    <row r="35" spans="2:9" x14ac:dyDescent="0.25">
      <c r="B35" s="724">
        <f t="shared" si="1"/>
        <v>40</v>
      </c>
      <c r="C35" s="624"/>
      <c r="D35" s="750"/>
      <c r="E35" s="757"/>
      <c r="F35" s="750">
        <f t="shared" si="0"/>
        <v>0</v>
      </c>
      <c r="G35" s="751"/>
      <c r="H35" s="593"/>
      <c r="I35" s="1199">
        <f t="shared" si="2"/>
        <v>1174.9500000000003</v>
      </c>
    </row>
    <row r="36" spans="2:9" x14ac:dyDescent="0.25">
      <c r="B36" s="724">
        <f t="shared" si="1"/>
        <v>40</v>
      </c>
      <c r="C36" s="624"/>
      <c r="D36" s="750"/>
      <c r="E36" s="757"/>
      <c r="F36" s="750">
        <f t="shared" si="0"/>
        <v>0</v>
      </c>
      <c r="G36" s="751"/>
      <c r="H36" s="593"/>
      <c r="I36" s="1199">
        <f t="shared" si="2"/>
        <v>1174.9500000000003</v>
      </c>
    </row>
    <row r="37" spans="2:9" x14ac:dyDescent="0.25">
      <c r="B37" s="724">
        <f t="shared" si="1"/>
        <v>40</v>
      </c>
      <c r="C37" s="624"/>
      <c r="D37" s="750"/>
      <c r="E37" s="757"/>
      <c r="F37" s="750">
        <f t="shared" si="0"/>
        <v>0</v>
      </c>
      <c r="G37" s="751"/>
      <c r="H37" s="593"/>
      <c r="I37" s="1199">
        <f t="shared" si="2"/>
        <v>1174.9500000000003</v>
      </c>
    </row>
    <row r="38" spans="2:9" x14ac:dyDescent="0.25">
      <c r="B38" s="724">
        <f t="shared" si="1"/>
        <v>40</v>
      </c>
      <c r="C38" s="624"/>
      <c r="D38" s="750"/>
      <c r="E38" s="757"/>
      <c r="F38" s="750">
        <f t="shared" si="0"/>
        <v>0</v>
      </c>
      <c r="G38" s="751"/>
      <c r="H38" s="593"/>
      <c r="I38" s="1199">
        <f t="shared" si="2"/>
        <v>1174.9500000000003</v>
      </c>
    </row>
    <row r="39" spans="2:9" x14ac:dyDescent="0.25">
      <c r="B39" s="724">
        <f t="shared" si="1"/>
        <v>40</v>
      </c>
      <c r="C39" s="624"/>
      <c r="D39" s="750"/>
      <c r="E39" s="757"/>
      <c r="F39" s="750">
        <f t="shared" si="0"/>
        <v>0</v>
      </c>
      <c r="G39" s="751"/>
      <c r="H39" s="593"/>
      <c r="I39" s="1199">
        <f t="shared" si="2"/>
        <v>1174.9500000000003</v>
      </c>
    </row>
    <row r="40" spans="2:9" x14ac:dyDescent="0.25">
      <c r="B40" s="724">
        <f t="shared" si="1"/>
        <v>40</v>
      </c>
      <c r="C40" s="624"/>
      <c r="D40" s="750"/>
      <c r="E40" s="757"/>
      <c r="F40" s="750">
        <f t="shared" si="0"/>
        <v>0</v>
      </c>
      <c r="G40" s="751"/>
      <c r="H40" s="593"/>
      <c r="I40" s="1199">
        <f t="shared" si="2"/>
        <v>1174.9500000000003</v>
      </c>
    </row>
    <row r="41" spans="2:9" x14ac:dyDescent="0.25">
      <c r="B41" s="724">
        <f t="shared" si="1"/>
        <v>40</v>
      </c>
      <c r="C41" s="624"/>
      <c r="D41" s="750"/>
      <c r="E41" s="757"/>
      <c r="F41" s="750">
        <f t="shared" si="0"/>
        <v>0</v>
      </c>
      <c r="G41" s="751"/>
      <c r="H41" s="593"/>
      <c r="I41" s="1199">
        <f t="shared" si="2"/>
        <v>1174.9500000000003</v>
      </c>
    </row>
    <row r="42" spans="2:9" x14ac:dyDescent="0.25">
      <c r="B42" s="724">
        <f t="shared" si="1"/>
        <v>40</v>
      </c>
      <c r="C42" s="624"/>
      <c r="D42" s="750"/>
      <c r="E42" s="757"/>
      <c r="F42" s="750">
        <f t="shared" si="0"/>
        <v>0</v>
      </c>
      <c r="G42" s="751"/>
      <c r="H42" s="593"/>
      <c r="I42" s="1199">
        <f t="shared" si="2"/>
        <v>1174.9500000000003</v>
      </c>
    </row>
    <row r="43" spans="2:9" x14ac:dyDescent="0.25">
      <c r="B43" s="724">
        <f t="shared" si="1"/>
        <v>40</v>
      </c>
      <c r="C43" s="624"/>
      <c r="D43" s="639"/>
      <c r="E43" s="645"/>
      <c r="F43" s="565">
        <f t="shared" si="0"/>
        <v>0</v>
      </c>
      <c r="G43" s="563"/>
      <c r="H43" s="564"/>
      <c r="I43" s="1199">
        <f t="shared" si="2"/>
        <v>1174.9500000000003</v>
      </c>
    </row>
    <row r="44" spans="2:9" x14ac:dyDescent="0.25">
      <c r="B44" s="724">
        <f t="shared" si="1"/>
        <v>40</v>
      </c>
      <c r="C44" s="624"/>
      <c r="D44" s="639"/>
      <c r="E44" s="645"/>
      <c r="F44" s="565">
        <f t="shared" si="0"/>
        <v>0</v>
      </c>
      <c r="G44" s="563"/>
      <c r="H44" s="564"/>
      <c r="I44" s="1199">
        <f t="shared" si="2"/>
        <v>1174.9500000000003</v>
      </c>
    </row>
    <row r="45" spans="2:9" ht="15.75" thickBot="1" x14ac:dyDescent="0.3">
      <c r="B45" s="832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200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725" t="s">
        <v>19</v>
      </c>
      <c r="D49" s="1726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W83"/>
  <sheetViews>
    <sheetView topLeftCell="R1" workbookViewId="0">
      <pane ySplit="8" topLeftCell="A9" activePane="bottomLeft" state="frozen"/>
      <selection pane="bottomLeft" activeCell="V25" sqref="V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  <col min="41" max="41" width="26.7109375" customWidth="1"/>
    <col min="42" max="42" width="18" customWidth="1"/>
    <col min="43" max="43" width="14.7109375" customWidth="1"/>
    <col min="45" max="45" width="13" bestFit="1" customWidth="1"/>
    <col min="49" max="49" width="11.42578125" style="60"/>
  </cols>
  <sheetData>
    <row r="1" spans="1:49" ht="40.5" x14ac:dyDescent="0.55000000000000004">
      <c r="A1" s="1663" t="s">
        <v>322</v>
      </c>
      <c r="B1" s="1663"/>
      <c r="C1" s="1663"/>
      <c r="D1" s="1663"/>
      <c r="E1" s="1663"/>
      <c r="F1" s="1663"/>
      <c r="G1" s="1663"/>
      <c r="H1" s="11">
        <v>1</v>
      </c>
      <c r="K1" s="1663" t="str">
        <f>A1</f>
        <v>INVENTARIO   DEL MES DE JUNIO  2023</v>
      </c>
      <c r="L1" s="1663"/>
      <c r="M1" s="1663"/>
      <c r="N1" s="1663"/>
      <c r="O1" s="1663"/>
      <c r="P1" s="1663"/>
      <c r="Q1" s="1663"/>
      <c r="R1" s="11">
        <v>2</v>
      </c>
      <c r="U1" s="1663" t="s">
        <v>311</v>
      </c>
      <c r="V1" s="1663"/>
      <c r="W1" s="1663"/>
      <c r="X1" s="1663"/>
      <c r="Y1" s="1663"/>
      <c r="Z1" s="1663"/>
      <c r="AA1" s="1663"/>
      <c r="AB1" s="11">
        <v>3</v>
      </c>
      <c r="AE1" s="1668" t="s">
        <v>346</v>
      </c>
      <c r="AF1" s="1668"/>
      <c r="AG1" s="1668"/>
      <c r="AH1" s="1668"/>
      <c r="AI1" s="1668"/>
      <c r="AJ1" s="1668"/>
      <c r="AK1" s="1668"/>
      <c r="AL1" s="11">
        <v>4</v>
      </c>
      <c r="AO1" s="1668" t="s">
        <v>346</v>
      </c>
      <c r="AP1" s="1668"/>
      <c r="AQ1" s="1668"/>
      <c r="AR1" s="1668"/>
      <c r="AS1" s="1668"/>
      <c r="AT1" s="1668"/>
      <c r="AU1" s="1668"/>
      <c r="AV1" s="11">
        <v>5</v>
      </c>
    </row>
    <row r="2" spans="1:4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  <c r="AQ2" s="12"/>
      <c r="AR2" s="12"/>
      <c r="AT2" s="12"/>
    </row>
    <row r="3" spans="1:4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  <c r="AO3" s="62" t="s">
        <v>0</v>
      </c>
      <c r="AP3" s="8" t="s">
        <v>1</v>
      </c>
      <c r="AQ3" s="9"/>
      <c r="AR3" s="9" t="s">
        <v>2</v>
      </c>
      <c r="AS3" s="9" t="s">
        <v>3</v>
      </c>
      <c r="AT3" s="9" t="s">
        <v>4</v>
      </c>
      <c r="AU3" s="26" t="s">
        <v>34</v>
      </c>
      <c r="AV3" s="35" t="s">
        <v>11</v>
      </c>
    </row>
    <row r="4" spans="1:49" ht="17.25" thickTop="1" thickBot="1" x14ac:dyDescent="0.3">
      <c r="A4" s="12"/>
      <c r="B4" s="12"/>
      <c r="C4" s="501"/>
      <c r="D4" s="130"/>
      <c r="E4" s="77"/>
      <c r="F4" s="61"/>
      <c r="G4" s="151"/>
      <c r="H4" s="151"/>
      <c r="K4" s="12"/>
      <c r="L4" s="12"/>
      <c r="M4" s="501"/>
      <c r="N4" s="130"/>
      <c r="O4" s="77"/>
      <c r="P4" s="61"/>
      <c r="Q4" s="151"/>
      <c r="R4" s="151"/>
      <c r="U4" s="12"/>
      <c r="V4" s="12"/>
      <c r="W4" s="501"/>
      <c r="X4" s="130"/>
      <c r="Y4" s="77"/>
      <c r="Z4" s="61"/>
      <c r="AA4" s="151"/>
      <c r="AB4" s="151"/>
      <c r="AE4" s="12"/>
      <c r="AF4" s="12"/>
      <c r="AG4" s="501"/>
      <c r="AH4" s="130"/>
      <c r="AI4" s="77"/>
      <c r="AJ4" s="61"/>
      <c r="AK4" s="151"/>
      <c r="AL4" s="151"/>
      <c r="AO4" s="12"/>
      <c r="AP4" s="12"/>
      <c r="AQ4" s="501"/>
      <c r="AR4" s="130"/>
      <c r="AS4" s="77"/>
      <c r="AT4" s="61"/>
      <c r="AU4" s="151"/>
      <c r="AV4" s="151"/>
    </row>
    <row r="5" spans="1:49" ht="22.5" customHeight="1" x14ac:dyDescent="0.25">
      <c r="A5" s="1712" t="s">
        <v>94</v>
      </c>
      <c r="B5" s="1731" t="s">
        <v>63</v>
      </c>
      <c r="C5" s="362">
        <v>98</v>
      </c>
      <c r="D5" s="130">
        <v>45063</v>
      </c>
      <c r="E5" s="197">
        <v>70</v>
      </c>
      <c r="F5" s="61">
        <v>7</v>
      </c>
      <c r="G5" s="5"/>
      <c r="K5" s="1712" t="s">
        <v>94</v>
      </c>
      <c r="L5" s="1733" t="s">
        <v>64</v>
      </c>
      <c r="M5" s="362">
        <v>85</v>
      </c>
      <c r="N5" s="130">
        <v>45070</v>
      </c>
      <c r="O5" s="197">
        <v>200</v>
      </c>
      <c r="P5" s="61">
        <v>20</v>
      </c>
      <c r="Q5" s="5"/>
      <c r="U5" s="1712" t="s">
        <v>94</v>
      </c>
      <c r="V5" s="1731" t="s">
        <v>63</v>
      </c>
      <c r="W5" s="362">
        <v>98</v>
      </c>
      <c r="X5" s="130">
        <v>45100</v>
      </c>
      <c r="Y5" s="197">
        <v>150</v>
      </c>
      <c r="Z5" s="61">
        <v>15</v>
      </c>
      <c r="AA5" s="5"/>
      <c r="AE5" s="1712" t="s">
        <v>94</v>
      </c>
      <c r="AF5" s="1731" t="s">
        <v>63</v>
      </c>
      <c r="AG5" s="362">
        <v>98</v>
      </c>
      <c r="AH5" s="130">
        <v>45126</v>
      </c>
      <c r="AI5" s="197">
        <v>150</v>
      </c>
      <c r="AJ5" s="61">
        <v>15</v>
      </c>
      <c r="AK5" s="5"/>
      <c r="AO5" s="1712" t="s">
        <v>94</v>
      </c>
      <c r="AP5" s="1733" t="s">
        <v>64</v>
      </c>
      <c r="AQ5" s="362">
        <v>85</v>
      </c>
      <c r="AR5" s="130">
        <v>45126</v>
      </c>
      <c r="AS5" s="197">
        <v>150</v>
      </c>
      <c r="AT5" s="61">
        <v>15</v>
      </c>
      <c r="AU5" s="5"/>
    </row>
    <row r="6" spans="1:49" ht="22.5" customHeight="1" thickBot="1" x14ac:dyDescent="0.3">
      <c r="A6" s="1712"/>
      <c r="B6" s="1732"/>
      <c r="C6" s="362">
        <v>98</v>
      </c>
      <c r="D6" s="130">
        <v>45078</v>
      </c>
      <c r="E6" s="197">
        <v>250</v>
      </c>
      <c r="F6" s="61">
        <v>25</v>
      </c>
      <c r="G6" s="47">
        <f>F78</f>
        <v>320</v>
      </c>
      <c r="H6" s="7">
        <f>E6-G6+E7+E5-G5+E4</f>
        <v>0</v>
      </c>
      <c r="K6" s="1712"/>
      <c r="L6" s="1733"/>
      <c r="M6" s="362"/>
      <c r="N6" s="130"/>
      <c r="O6" s="197"/>
      <c r="P6" s="61"/>
      <c r="Q6" s="47">
        <f>P78</f>
        <v>200</v>
      </c>
      <c r="R6" s="7">
        <f>O6-Q6+O7+O5-Q5+O4</f>
        <v>0</v>
      </c>
      <c r="U6" s="1712"/>
      <c r="V6" s="1732"/>
      <c r="W6" s="362"/>
      <c r="X6" s="130"/>
      <c r="Y6" s="197"/>
      <c r="Z6" s="61"/>
      <c r="AA6" s="47">
        <f>Z78</f>
        <v>150</v>
      </c>
      <c r="AB6" s="7">
        <f>Y6-AA6+Y7+Y5-AA5+Y4</f>
        <v>0</v>
      </c>
      <c r="AE6" s="1712"/>
      <c r="AF6" s="1732"/>
      <c r="AG6" s="362"/>
      <c r="AH6" s="130"/>
      <c r="AI6" s="197"/>
      <c r="AJ6" s="61"/>
      <c r="AK6" s="47">
        <f>AJ78</f>
        <v>20</v>
      </c>
      <c r="AL6" s="7">
        <f>AI6-AK6+AI7+AI5-AK5+AI4</f>
        <v>130</v>
      </c>
      <c r="AO6" s="1712"/>
      <c r="AP6" s="1733"/>
      <c r="AQ6" s="362"/>
      <c r="AR6" s="130"/>
      <c r="AS6" s="197"/>
      <c r="AT6" s="61"/>
      <c r="AU6" s="47">
        <f>AT78</f>
        <v>0</v>
      </c>
      <c r="AV6" s="7">
        <f>AS6-AU6+AS7+AS5-AU5+AS4</f>
        <v>150</v>
      </c>
    </row>
    <row r="7" spans="1:4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  <c r="AP7" s="19"/>
      <c r="AQ7" s="217"/>
      <c r="AR7" s="218"/>
      <c r="AS7" s="77"/>
      <c r="AT7" s="61"/>
    </row>
    <row r="8" spans="1:4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  <c r="AP8" s="63" t="s">
        <v>7</v>
      </c>
      <c r="AQ8" s="27" t="s">
        <v>8</v>
      </c>
      <c r="AR8" s="32" t="s">
        <v>3</v>
      </c>
      <c r="AS8" s="33" t="s">
        <v>2</v>
      </c>
      <c r="AT8" s="9" t="s">
        <v>9</v>
      </c>
      <c r="AU8" s="10" t="s">
        <v>15</v>
      </c>
      <c r="AV8" s="24"/>
    </row>
    <row r="9" spans="1:49" ht="15.75" thickTop="1" x14ac:dyDescent="0.25">
      <c r="A9" s="79" t="s">
        <v>32</v>
      </c>
      <c r="B9" s="82">
        <f>F6-C9+F5+F7+F4</f>
        <v>30</v>
      </c>
      <c r="C9" s="624">
        <v>2</v>
      </c>
      <c r="D9" s="565">
        <v>20</v>
      </c>
      <c r="E9" s="592">
        <v>45065</v>
      </c>
      <c r="F9" s="565">
        <f t="shared" ref="F9:F72" si="0">D9</f>
        <v>20</v>
      </c>
      <c r="G9" s="563" t="s">
        <v>167</v>
      </c>
      <c r="H9" s="564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24">
        <v>1</v>
      </c>
      <c r="N9" s="565">
        <v>10</v>
      </c>
      <c r="O9" s="592">
        <v>45071</v>
      </c>
      <c r="P9" s="565">
        <f t="shared" ref="P9:P72" si="1">N9</f>
        <v>10</v>
      </c>
      <c r="Q9" s="563" t="s">
        <v>179</v>
      </c>
      <c r="R9" s="564">
        <v>100</v>
      </c>
      <c r="S9" s="102">
        <f>O6-P9+O5+O7+O4</f>
        <v>190</v>
      </c>
      <c r="U9" s="79" t="s">
        <v>32</v>
      </c>
      <c r="V9" s="626">
        <f>Z6-W9+Z5+Z7+Z4</f>
        <v>15</v>
      </c>
      <c r="W9" s="624"/>
      <c r="X9" s="565"/>
      <c r="Y9" s="592"/>
      <c r="Z9" s="565">
        <f t="shared" ref="Z9:Z72" si="2">X9</f>
        <v>0</v>
      </c>
      <c r="AA9" s="563"/>
      <c r="AB9" s="564"/>
      <c r="AC9" s="625">
        <f>Y6-Z9+Y5+Y7+Y4</f>
        <v>150</v>
      </c>
      <c r="AE9" s="79" t="s">
        <v>32</v>
      </c>
      <c r="AF9" s="82">
        <f>AJ6-AG9+AJ5+AJ7+AJ4</f>
        <v>14</v>
      </c>
      <c r="AG9" s="624">
        <v>1</v>
      </c>
      <c r="AH9" s="565">
        <v>10</v>
      </c>
      <c r="AI9" s="592">
        <v>45134</v>
      </c>
      <c r="AJ9" s="565">
        <f t="shared" ref="AJ9:AJ72" si="3">AH9</f>
        <v>10</v>
      </c>
      <c r="AK9" s="563" t="s">
        <v>703</v>
      </c>
      <c r="AL9" s="564">
        <v>115</v>
      </c>
      <c r="AM9" s="102">
        <f>AI6-AJ9+AI5+AI7+AI4</f>
        <v>140</v>
      </c>
      <c r="AO9" s="79" t="s">
        <v>32</v>
      </c>
      <c r="AP9" s="82">
        <f>AT6-AQ9+AT5+AT7+AT4</f>
        <v>15</v>
      </c>
      <c r="AQ9" s="624"/>
      <c r="AR9" s="565"/>
      <c r="AS9" s="592"/>
      <c r="AT9" s="565">
        <f t="shared" ref="AT9:AT72" si="4">AR9</f>
        <v>0</v>
      </c>
      <c r="AU9" s="563"/>
      <c r="AV9" s="564"/>
      <c r="AW9" s="102">
        <f>AS6-AT9+AS5+AS7+AS4</f>
        <v>150</v>
      </c>
    </row>
    <row r="10" spans="1:49" x14ac:dyDescent="0.25">
      <c r="A10" s="185"/>
      <c r="B10" s="676">
        <f t="shared" ref="B10:B73" si="5">B9-C10</f>
        <v>27</v>
      </c>
      <c r="C10" s="624">
        <v>3</v>
      </c>
      <c r="D10" s="565">
        <v>30</v>
      </c>
      <c r="E10" s="592">
        <v>45066</v>
      </c>
      <c r="F10" s="565">
        <f t="shared" si="0"/>
        <v>30</v>
      </c>
      <c r="G10" s="563" t="s">
        <v>170</v>
      </c>
      <c r="H10" s="564">
        <v>115</v>
      </c>
      <c r="I10" s="596">
        <f>I9-F10</f>
        <v>270</v>
      </c>
      <c r="K10" s="185"/>
      <c r="L10" s="676">
        <f t="shared" ref="L10:L73" si="6">L9-M10</f>
        <v>18</v>
      </c>
      <c r="M10" s="624">
        <v>1</v>
      </c>
      <c r="N10" s="565">
        <v>10</v>
      </c>
      <c r="O10" s="592">
        <v>45079</v>
      </c>
      <c r="P10" s="565">
        <f t="shared" si="1"/>
        <v>10</v>
      </c>
      <c r="Q10" s="563" t="s">
        <v>193</v>
      </c>
      <c r="R10" s="564">
        <v>100</v>
      </c>
      <c r="S10" s="596">
        <f>S9-P10</f>
        <v>180</v>
      </c>
      <c r="U10" s="185"/>
      <c r="V10" s="676">
        <f t="shared" ref="V10:V73" si="7">V9-W10</f>
        <v>13</v>
      </c>
      <c r="W10" s="624">
        <v>2</v>
      </c>
      <c r="X10" s="565">
        <v>20</v>
      </c>
      <c r="Y10" s="592">
        <v>45113</v>
      </c>
      <c r="Z10" s="565">
        <f t="shared" si="2"/>
        <v>20</v>
      </c>
      <c r="AA10" s="563" t="s">
        <v>524</v>
      </c>
      <c r="AB10" s="564">
        <v>115</v>
      </c>
      <c r="AC10" s="596">
        <f>AC9-Z10</f>
        <v>130</v>
      </c>
      <c r="AE10" s="185"/>
      <c r="AF10" s="676">
        <f t="shared" ref="AF10:AF73" si="8">AF9-AG10</f>
        <v>13</v>
      </c>
      <c r="AG10" s="624">
        <v>1</v>
      </c>
      <c r="AH10" s="565">
        <v>10</v>
      </c>
      <c r="AI10" s="592">
        <v>45136</v>
      </c>
      <c r="AJ10" s="565">
        <f t="shared" si="3"/>
        <v>10</v>
      </c>
      <c r="AK10" s="563" t="s">
        <v>723</v>
      </c>
      <c r="AL10" s="564">
        <v>115</v>
      </c>
      <c r="AM10" s="596">
        <f>AM9-AJ10</f>
        <v>130</v>
      </c>
      <c r="AO10" s="185"/>
      <c r="AP10" s="676">
        <f t="shared" ref="AP10:AP73" si="9">AP9-AQ10</f>
        <v>15</v>
      </c>
      <c r="AQ10" s="624"/>
      <c r="AR10" s="565"/>
      <c r="AS10" s="592"/>
      <c r="AT10" s="565">
        <f t="shared" si="4"/>
        <v>0</v>
      </c>
      <c r="AU10" s="563"/>
      <c r="AV10" s="564"/>
      <c r="AW10" s="596">
        <f>AW9-AT10</f>
        <v>150</v>
      </c>
    </row>
    <row r="11" spans="1:49" x14ac:dyDescent="0.25">
      <c r="A11" s="174"/>
      <c r="B11" s="676">
        <f t="shared" si="5"/>
        <v>25</v>
      </c>
      <c r="C11" s="576">
        <v>2</v>
      </c>
      <c r="D11" s="565">
        <v>20</v>
      </c>
      <c r="E11" s="592">
        <v>45066</v>
      </c>
      <c r="F11" s="565">
        <f t="shared" si="0"/>
        <v>20</v>
      </c>
      <c r="G11" s="563" t="s">
        <v>172</v>
      </c>
      <c r="H11" s="564">
        <v>115</v>
      </c>
      <c r="I11" s="596">
        <f t="shared" ref="I11:I74" si="10">I10-F11</f>
        <v>250</v>
      </c>
      <c r="K11" s="174"/>
      <c r="L11" s="676">
        <f t="shared" si="6"/>
        <v>17</v>
      </c>
      <c r="M11" s="576">
        <v>1</v>
      </c>
      <c r="N11" s="565">
        <v>10</v>
      </c>
      <c r="O11" s="592">
        <v>45080</v>
      </c>
      <c r="P11" s="565">
        <f t="shared" si="1"/>
        <v>10</v>
      </c>
      <c r="Q11" s="563" t="s">
        <v>194</v>
      </c>
      <c r="R11" s="564">
        <v>100</v>
      </c>
      <c r="S11" s="625">
        <f t="shared" ref="S11:S74" si="11">S10-P11</f>
        <v>170</v>
      </c>
      <c r="U11" s="174"/>
      <c r="V11" s="676">
        <f t="shared" si="7"/>
        <v>10</v>
      </c>
      <c r="W11" s="576">
        <v>3</v>
      </c>
      <c r="X11" s="565">
        <v>30</v>
      </c>
      <c r="Y11" s="592">
        <v>45117</v>
      </c>
      <c r="Z11" s="565">
        <f t="shared" si="2"/>
        <v>30</v>
      </c>
      <c r="AA11" s="563" t="s">
        <v>556</v>
      </c>
      <c r="AB11" s="564">
        <v>115</v>
      </c>
      <c r="AC11" s="596">
        <f t="shared" ref="AC11:AC74" si="12">AC10-Z11</f>
        <v>100</v>
      </c>
      <c r="AD11" s="594"/>
      <c r="AE11" s="174"/>
      <c r="AF11" s="676">
        <f t="shared" si="8"/>
        <v>13</v>
      </c>
      <c r="AG11" s="576"/>
      <c r="AH11" s="565"/>
      <c r="AI11" s="592"/>
      <c r="AJ11" s="565">
        <f t="shared" si="3"/>
        <v>0</v>
      </c>
      <c r="AK11" s="563"/>
      <c r="AL11" s="564"/>
      <c r="AM11" s="596">
        <f t="shared" ref="AM11:AM74" si="13">AM10-AJ11</f>
        <v>130</v>
      </c>
      <c r="AO11" s="174"/>
      <c r="AP11" s="676">
        <f t="shared" si="9"/>
        <v>15</v>
      </c>
      <c r="AQ11" s="576"/>
      <c r="AR11" s="565"/>
      <c r="AS11" s="592"/>
      <c r="AT11" s="565">
        <f t="shared" si="4"/>
        <v>0</v>
      </c>
      <c r="AU11" s="563"/>
      <c r="AV11" s="564"/>
      <c r="AW11" s="596">
        <f t="shared" ref="AW11:AW74" si="14">AW10-AT11</f>
        <v>150</v>
      </c>
    </row>
    <row r="12" spans="1:49" x14ac:dyDescent="0.25">
      <c r="A12" s="174"/>
      <c r="B12" s="676">
        <f t="shared" si="5"/>
        <v>24</v>
      </c>
      <c r="C12" s="624">
        <v>1</v>
      </c>
      <c r="D12" s="565">
        <v>10</v>
      </c>
      <c r="E12" s="592">
        <v>45079</v>
      </c>
      <c r="F12" s="565">
        <f t="shared" si="0"/>
        <v>10</v>
      </c>
      <c r="G12" s="563" t="s">
        <v>193</v>
      </c>
      <c r="H12" s="564">
        <v>115</v>
      </c>
      <c r="I12" s="596">
        <f t="shared" si="10"/>
        <v>240</v>
      </c>
      <c r="K12" s="174"/>
      <c r="L12" s="626">
        <f t="shared" si="6"/>
        <v>17</v>
      </c>
      <c r="M12" s="624"/>
      <c r="N12" s="565"/>
      <c r="O12" s="592">
        <v>0</v>
      </c>
      <c r="P12" s="565">
        <f t="shared" si="1"/>
        <v>0</v>
      </c>
      <c r="Q12" s="563">
        <v>0</v>
      </c>
      <c r="R12" s="564">
        <v>0</v>
      </c>
      <c r="S12" s="596">
        <f t="shared" si="11"/>
        <v>170</v>
      </c>
      <c r="U12" s="174"/>
      <c r="V12" s="676">
        <f t="shared" si="7"/>
        <v>9</v>
      </c>
      <c r="W12" s="624">
        <v>1</v>
      </c>
      <c r="X12" s="565">
        <v>10</v>
      </c>
      <c r="Y12" s="592">
        <v>45118</v>
      </c>
      <c r="Z12" s="565">
        <f t="shared" si="2"/>
        <v>10</v>
      </c>
      <c r="AA12" s="563" t="s">
        <v>563</v>
      </c>
      <c r="AB12" s="564">
        <v>115</v>
      </c>
      <c r="AC12" s="596">
        <f t="shared" si="12"/>
        <v>90</v>
      </c>
      <c r="AD12" s="594"/>
      <c r="AE12" s="174"/>
      <c r="AF12" s="676">
        <f t="shared" si="8"/>
        <v>13</v>
      </c>
      <c r="AG12" s="624"/>
      <c r="AH12" s="565"/>
      <c r="AI12" s="592"/>
      <c r="AJ12" s="565">
        <f t="shared" si="3"/>
        <v>0</v>
      </c>
      <c r="AK12" s="563"/>
      <c r="AL12" s="564"/>
      <c r="AM12" s="596">
        <f t="shared" si="13"/>
        <v>130</v>
      </c>
      <c r="AO12" s="174"/>
      <c r="AP12" s="676">
        <f t="shared" si="9"/>
        <v>15</v>
      </c>
      <c r="AQ12" s="624"/>
      <c r="AR12" s="565"/>
      <c r="AS12" s="592"/>
      <c r="AT12" s="565">
        <f t="shared" si="4"/>
        <v>0</v>
      </c>
      <c r="AU12" s="563"/>
      <c r="AV12" s="564"/>
      <c r="AW12" s="596">
        <f t="shared" si="14"/>
        <v>150</v>
      </c>
    </row>
    <row r="13" spans="1:49" x14ac:dyDescent="0.25">
      <c r="A13" s="81" t="s">
        <v>33</v>
      </c>
      <c r="B13" s="676">
        <f t="shared" si="5"/>
        <v>23</v>
      </c>
      <c r="C13" s="624">
        <v>1</v>
      </c>
      <c r="D13" s="565">
        <v>10</v>
      </c>
      <c r="E13" s="592">
        <v>45080</v>
      </c>
      <c r="F13" s="565">
        <f t="shared" si="0"/>
        <v>10</v>
      </c>
      <c r="G13" s="563" t="s">
        <v>194</v>
      </c>
      <c r="H13" s="564">
        <v>115</v>
      </c>
      <c r="I13" s="596">
        <f t="shared" si="10"/>
        <v>230</v>
      </c>
      <c r="K13" s="81" t="s">
        <v>33</v>
      </c>
      <c r="L13" s="676">
        <f t="shared" si="6"/>
        <v>15</v>
      </c>
      <c r="M13" s="624">
        <v>2</v>
      </c>
      <c r="N13" s="708">
        <v>20</v>
      </c>
      <c r="O13" s="1091">
        <v>45086</v>
      </c>
      <c r="P13" s="708">
        <f t="shared" si="1"/>
        <v>20</v>
      </c>
      <c r="Q13" s="709" t="s">
        <v>209</v>
      </c>
      <c r="R13" s="710">
        <v>100</v>
      </c>
      <c r="S13" s="596">
        <f t="shared" si="11"/>
        <v>150</v>
      </c>
      <c r="U13" s="81" t="s">
        <v>33</v>
      </c>
      <c r="V13" s="676">
        <f t="shared" si="7"/>
        <v>8</v>
      </c>
      <c r="W13" s="624">
        <v>1</v>
      </c>
      <c r="X13" s="565">
        <v>10</v>
      </c>
      <c r="Y13" s="592">
        <v>45121</v>
      </c>
      <c r="Z13" s="565">
        <f t="shared" si="2"/>
        <v>10</v>
      </c>
      <c r="AA13" s="563" t="s">
        <v>600</v>
      </c>
      <c r="AB13" s="564">
        <v>115</v>
      </c>
      <c r="AC13" s="596">
        <f t="shared" si="12"/>
        <v>80</v>
      </c>
      <c r="AD13" s="594"/>
      <c r="AE13" s="81" t="s">
        <v>33</v>
      </c>
      <c r="AF13" s="676">
        <f t="shared" si="8"/>
        <v>13</v>
      </c>
      <c r="AG13" s="624"/>
      <c r="AH13" s="565"/>
      <c r="AI13" s="592"/>
      <c r="AJ13" s="565">
        <f t="shared" si="3"/>
        <v>0</v>
      </c>
      <c r="AK13" s="563"/>
      <c r="AL13" s="564"/>
      <c r="AM13" s="596">
        <f t="shared" si="13"/>
        <v>130</v>
      </c>
      <c r="AO13" s="81" t="s">
        <v>33</v>
      </c>
      <c r="AP13" s="676">
        <f t="shared" si="9"/>
        <v>15</v>
      </c>
      <c r="AQ13" s="624"/>
      <c r="AR13" s="565"/>
      <c r="AS13" s="592"/>
      <c r="AT13" s="565">
        <f t="shared" si="4"/>
        <v>0</v>
      </c>
      <c r="AU13" s="563"/>
      <c r="AV13" s="564"/>
      <c r="AW13" s="596">
        <f t="shared" si="14"/>
        <v>150</v>
      </c>
    </row>
    <row r="14" spans="1:49" x14ac:dyDescent="0.25">
      <c r="A14" s="72"/>
      <c r="B14" s="626">
        <f t="shared" si="5"/>
        <v>19</v>
      </c>
      <c r="C14" s="624">
        <v>4</v>
      </c>
      <c r="D14" s="565">
        <v>40</v>
      </c>
      <c r="E14" s="592">
        <v>45082</v>
      </c>
      <c r="F14" s="565">
        <f t="shared" si="0"/>
        <v>40</v>
      </c>
      <c r="G14" s="563" t="s">
        <v>195</v>
      </c>
      <c r="H14" s="564">
        <v>115</v>
      </c>
      <c r="I14" s="625">
        <f t="shared" si="10"/>
        <v>190</v>
      </c>
      <c r="K14" s="1028"/>
      <c r="L14" s="676">
        <f t="shared" si="6"/>
        <v>14</v>
      </c>
      <c r="M14" s="624">
        <v>1</v>
      </c>
      <c r="N14" s="708">
        <v>10</v>
      </c>
      <c r="O14" s="1091">
        <v>45093</v>
      </c>
      <c r="P14" s="708">
        <f t="shared" si="1"/>
        <v>10</v>
      </c>
      <c r="Q14" s="709" t="s">
        <v>231</v>
      </c>
      <c r="R14" s="710">
        <v>100</v>
      </c>
      <c r="S14" s="596">
        <f t="shared" si="11"/>
        <v>140</v>
      </c>
      <c r="U14" s="1146"/>
      <c r="V14" s="676">
        <f t="shared" si="7"/>
        <v>7</v>
      </c>
      <c r="W14" s="624">
        <v>1</v>
      </c>
      <c r="X14" s="565">
        <v>10</v>
      </c>
      <c r="Y14" s="592">
        <v>45122</v>
      </c>
      <c r="Z14" s="565">
        <f t="shared" si="2"/>
        <v>10</v>
      </c>
      <c r="AA14" s="563" t="s">
        <v>607</v>
      </c>
      <c r="AB14" s="564">
        <v>115</v>
      </c>
      <c r="AC14" s="596">
        <f t="shared" si="12"/>
        <v>70</v>
      </c>
      <c r="AD14" s="594"/>
      <c r="AE14" s="1392"/>
      <c r="AF14" s="676">
        <f t="shared" si="8"/>
        <v>13</v>
      </c>
      <c r="AG14" s="624"/>
      <c r="AH14" s="565"/>
      <c r="AI14" s="592"/>
      <c r="AJ14" s="565">
        <f t="shared" si="3"/>
        <v>0</v>
      </c>
      <c r="AK14" s="563"/>
      <c r="AL14" s="564"/>
      <c r="AM14" s="596">
        <f t="shared" si="13"/>
        <v>130</v>
      </c>
      <c r="AO14" s="1392"/>
      <c r="AP14" s="676">
        <f t="shared" si="9"/>
        <v>15</v>
      </c>
      <c r="AQ14" s="624"/>
      <c r="AR14" s="565"/>
      <c r="AS14" s="592"/>
      <c r="AT14" s="565">
        <f t="shared" si="4"/>
        <v>0</v>
      </c>
      <c r="AU14" s="563"/>
      <c r="AV14" s="564"/>
      <c r="AW14" s="596">
        <f t="shared" si="14"/>
        <v>150</v>
      </c>
    </row>
    <row r="15" spans="1:49" x14ac:dyDescent="0.25">
      <c r="A15" s="72" t="s">
        <v>22</v>
      </c>
      <c r="B15" s="676">
        <f t="shared" si="5"/>
        <v>19</v>
      </c>
      <c r="C15" s="624"/>
      <c r="D15" s="565">
        <v>0</v>
      </c>
      <c r="E15" s="592">
        <v>0</v>
      </c>
      <c r="F15" s="565">
        <f t="shared" si="0"/>
        <v>0</v>
      </c>
      <c r="G15" s="563">
        <v>0</v>
      </c>
      <c r="H15" s="564">
        <v>0</v>
      </c>
      <c r="I15" s="596">
        <f t="shared" si="10"/>
        <v>190</v>
      </c>
      <c r="K15" s="1028" t="s">
        <v>22</v>
      </c>
      <c r="L15" s="676">
        <f t="shared" si="6"/>
        <v>12</v>
      </c>
      <c r="M15" s="624">
        <v>2</v>
      </c>
      <c r="N15" s="708">
        <v>20</v>
      </c>
      <c r="O15" s="1091">
        <v>45099</v>
      </c>
      <c r="P15" s="708">
        <f t="shared" si="1"/>
        <v>20</v>
      </c>
      <c r="Q15" s="709" t="s">
        <v>221</v>
      </c>
      <c r="R15" s="710">
        <v>100</v>
      </c>
      <c r="S15" s="596">
        <f t="shared" si="11"/>
        <v>120</v>
      </c>
      <c r="U15" s="1146" t="s">
        <v>22</v>
      </c>
      <c r="V15" s="676">
        <f t="shared" si="7"/>
        <v>2</v>
      </c>
      <c r="W15" s="624">
        <v>5</v>
      </c>
      <c r="X15" s="565">
        <v>50</v>
      </c>
      <c r="Y15" s="592">
        <v>45125</v>
      </c>
      <c r="Z15" s="565">
        <f t="shared" si="2"/>
        <v>50</v>
      </c>
      <c r="AA15" s="563" t="s">
        <v>624</v>
      </c>
      <c r="AB15" s="564">
        <v>115</v>
      </c>
      <c r="AC15" s="596">
        <f t="shared" si="12"/>
        <v>20</v>
      </c>
      <c r="AD15" s="594"/>
      <c r="AE15" s="1392" t="s">
        <v>22</v>
      </c>
      <c r="AF15" s="676">
        <f t="shared" si="8"/>
        <v>13</v>
      </c>
      <c r="AG15" s="624"/>
      <c r="AH15" s="565"/>
      <c r="AI15" s="592"/>
      <c r="AJ15" s="565">
        <f t="shared" si="3"/>
        <v>0</v>
      </c>
      <c r="AK15" s="563"/>
      <c r="AL15" s="564"/>
      <c r="AM15" s="596">
        <f t="shared" si="13"/>
        <v>130</v>
      </c>
      <c r="AO15" s="1392" t="s">
        <v>22</v>
      </c>
      <c r="AP15" s="676">
        <f t="shared" si="9"/>
        <v>15</v>
      </c>
      <c r="AQ15" s="624"/>
      <c r="AR15" s="565"/>
      <c r="AS15" s="592"/>
      <c r="AT15" s="565">
        <f t="shared" si="4"/>
        <v>0</v>
      </c>
      <c r="AU15" s="563"/>
      <c r="AV15" s="564"/>
      <c r="AW15" s="596">
        <f t="shared" si="14"/>
        <v>150</v>
      </c>
    </row>
    <row r="16" spans="1:49" x14ac:dyDescent="0.25">
      <c r="B16" s="676">
        <f t="shared" si="5"/>
        <v>18</v>
      </c>
      <c r="C16" s="624">
        <v>1</v>
      </c>
      <c r="D16" s="1182">
        <v>10</v>
      </c>
      <c r="E16" s="1196">
        <v>45085</v>
      </c>
      <c r="F16" s="1182">
        <f t="shared" si="0"/>
        <v>10</v>
      </c>
      <c r="G16" s="1183" t="s">
        <v>207</v>
      </c>
      <c r="H16" s="1184">
        <v>115</v>
      </c>
      <c r="I16" s="596">
        <f t="shared" si="10"/>
        <v>180</v>
      </c>
      <c r="L16" s="626">
        <f t="shared" si="6"/>
        <v>11</v>
      </c>
      <c r="M16" s="624">
        <v>1</v>
      </c>
      <c r="N16" s="708">
        <v>10</v>
      </c>
      <c r="O16" s="1091">
        <v>45099</v>
      </c>
      <c r="P16" s="708">
        <f t="shared" si="1"/>
        <v>10</v>
      </c>
      <c r="Q16" s="709" t="s">
        <v>251</v>
      </c>
      <c r="R16" s="710">
        <v>100</v>
      </c>
      <c r="S16" s="625">
        <f t="shared" si="11"/>
        <v>110</v>
      </c>
      <c r="V16" s="676">
        <f t="shared" si="7"/>
        <v>1</v>
      </c>
      <c r="W16" s="624">
        <v>1</v>
      </c>
      <c r="X16" s="565">
        <v>10</v>
      </c>
      <c r="Y16" s="592">
        <v>45128</v>
      </c>
      <c r="Z16" s="565">
        <f t="shared" si="2"/>
        <v>10</v>
      </c>
      <c r="AA16" s="563" t="s">
        <v>658</v>
      </c>
      <c r="AB16" s="564">
        <v>115</v>
      </c>
      <c r="AC16" s="596">
        <f t="shared" si="12"/>
        <v>10</v>
      </c>
      <c r="AD16" s="594"/>
      <c r="AF16" s="676">
        <f t="shared" si="8"/>
        <v>13</v>
      </c>
      <c r="AG16" s="624"/>
      <c r="AH16" s="1182"/>
      <c r="AI16" s="1196"/>
      <c r="AJ16" s="1182">
        <f t="shared" si="3"/>
        <v>0</v>
      </c>
      <c r="AK16" s="1183"/>
      <c r="AL16" s="1184"/>
      <c r="AM16" s="596">
        <f t="shared" si="13"/>
        <v>130</v>
      </c>
      <c r="AP16" s="676">
        <f t="shared" si="9"/>
        <v>15</v>
      </c>
      <c r="AQ16" s="624"/>
      <c r="AR16" s="565"/>
      <c r="AS16" s="592"/>
      <c r="AT16" s="565">
        <f t="shared" si="4"/>
        <v>0</v>
      </c>
      <c r="AU16" s="563"/>
      <c r="AV16" s="564"/>
      <c r="AW16" s="596">
        <f t="shared" si="14"/>
        <v>150</v>
      </c>
    </row>
    <row r="17" spans="1:49" x14ac:dyDescent="0.25">
      <c r="B17" s="676">
        <f t="shared" si="5"/>
        <v>16</v>
      </c>
      <c r="C17" s="624">
        <v>2</v>
      </c>
      <c r="D17" s="1182">
        <v>20</v>
      </c>
      <c r="E17" s="1196">
        <v>45087</v>
      </c>
      <c r="F17" s="1182">
        <f t="shared" si="0"/>
        <v>20</v>
      </c>
      <c r="G17" s="1183" t="s">
        <v>213</v>
      </c>
      <c r="H17" s="1184">
        <v>115</v>
      </c>
      <c r="I17" s="596">
        <f t="shared" si="10"/>
        <v>160</v>
      </c>
      <c r="L17" s="676">
        <f t="shared" si="6"/>
        <v>9</v>
      </c>
      <c r="M17" s="624">
        <v>2</v>
      </c>
      <c r="N17" s="708">
        <v>20</v>
      </c>
      <c r="O17" s="1091">
        <v>45118</v>
      </c>
      <c r="P17" s="708">
        <f t="shared" si="1"/>
        <v>20</v>
      </c>
      <c r="Q17" s="709" t="s">
        <v>563</v>
      </c>
      <c r="R17" s="710">
        <v>100</v>
      </c>
      <c r="S17" s="596">
        <f t="shared" si="11"/>
        <v>90</v>
      </c>
      <c r="V17" s="676">
        <f t="shared" si="7"/>
        <v>0</v>
      </c>
      <c r="W17" s="624">
        <v>1</v>
      </c>
      <c r="X17" s="565">
        <v>10</v>
      </c>
      <c r="Y17" s="592">
        <v>45129</v>
      </c>
      <c r="Z17" s="565">
        <f t="shared" si="2"/>
        <v>10</v>
      </c>
      <c r="AA17" s="563" t="s">
        <v>670</v>
      </c>
      <c r="AB17" s="564">
        <v>115</v>
      </c>
      <c r="AC17" s="596">
        <f t="shared" si="12"/>
        <v>0</v>
      </c>
      <c r="AD17" s="594"/>
      <c r="AF17" s="676">
        <f t="shared" si="8"/>
        <v>13</v>
      </c>
      <c r="AG17" s="624"/>
      <c r="AH17" s="565"/>
      <c r="AI17" s="592"/>
      <c r="AJ17" s="565">
        <f t="shared" si="3"/>
        <v>0</v>
      </c>
      <c r="AK17" s="563"/>
      <c r="AL17" s="564"/>
      <c r="AM17" s="596">
        <f t="shared" si="13"/>
        <v>130</v>
      </c>
      <c r="AP17" s="676">
        <f t="shared" si="9"/>
        <v>15</v>
      </c>
      <c r="AQ17" s="624"/>
      <c r="AR17" s="565"/>
      <c r="AS17" s="592"/>
      <c r="AT17" s="565">
        <f t="shared" si="4"/>
        <v>0</v>
      </c>
      <c r="AU17" s="563"/>
      <c r="AV17" s="564"/>
      <c r="AW17" s="596">
        <f t="shared" si="14"/>
        <v>150</v>
      </c>
    </row>
    <row r="18" spans="1:49" x14ac:dyDescent="0.25">
      <c r="A18" s="118"/>
      <c r="B18" s="676">
        <f t="shared" si="5"/>
        <v>13</v>
      </c>
      <c r="C18" s="624">
        <v>3</v>
      </c>
      <c r="D18" s="1182">
        <v>30</v>
      </c>
      <c r="E18" s="1196">
        <v>45087</v>
      </c>
      <c r="F18" s="1182">
        <f t="shared" si="0"/>
        <v>30</v>
      </c>
      <c r="G18" s="1183" t="s">
        <v>214</v>
      </c>
      <c r="H18" s="1184">
        <v>115</v>
      </c>
      <c r="I18" s="596">
        <f t="shared" si="10"/>
        <v>130</v>
      </c>
      <c r="K18" s="118"/>
      <c r="L18" s="676">
        <f t="shared" si="6"/>
        <v>7</v>
      </c>
      <c r="M18" s="624">
        <v>2</v>
      </c>
      <c r="N18" s="1246">
        <v>20</v>
      </c>
      <c r="O18" s="1247">
        <v>45122</v>
      </c>
      <c r="P18" s="1246">
        <f t="shared" si="1"/>
        <v>20</v>
      </c>
      <c r="Q18" s="1248" t="s">
        <v>607</v>
      </c>
      <c r="R18" s="1249">
        <v>100</v>
      </c>
      <c r="S18" s="596">
        <f t="shared" si="11"/>
        <v>70</v>
      </c>
      <c r="U18" s="118"/>
      <c r="V18" s="676">
        <f t="shared" si="7"/>
        <v>0</v>
      </c>
      <c r="W18" s="624"/>
      <c r="X18" s="565"/>
      <c r="Y18" s="592"/>
      <c r="Z18" s="565">
        <f t="shared" si="2"/>
        <v>0</v>
      </c>
      <c r="AA18" s="563"/>
      <c r="AB18" s="564"/>
      <c r="AC18" s="596">
        <f t="shared" si="12"/>
        <v>0</v>
      </c>
      <c r="AD18" s="594"/>
      <c r="AE18" s="118"/>
      <c r="AF18" s="676">
        <f t="shared" si="8"/>
        <v>13</v>
      </c>
      <c r="AG18" s="624"/>
      <c r="AH18" s="565"/>
      <c r="AI18" s="592"/>
      <c r="AJ18" s="565">
        <f t="shared" si="3"/>
        <v>0</v>
      </c>
      <c r="AK18" s="563"/>
      <c r="AL18" s="564"/>
      <c r="AM18" s="596">
        <f t="shared" si="13"/>
        <v>130</v>
      </c>
      <c r="AO18" s="118"/>
      <c r="AP18" s="676">
        <f t="shared" si="9"/>
        <v>15</v>
      </c>
      <c r="AQ18" s="624"/>
      <c r="AR18" s="565"/>
      <c r="AS18" s="592"/>
      <c r="AT18" s="565">
        <f t="shared" si="4"/>
        <v>0</v>
      </c>
      <c r="AU18" s="563"/>
      <c r="AV18" s="564"/>
      <c r="AW18" s="596">
        <f t="shared" si="14"/>
        <v>150</v>
      </c>
    </row>
    <row r="19" spans="1:49" x14ac:dyDescent="0.25">
      <c r="A19" s="118"/>
      <c r="B19" s="676">
        <f t="shared" si="5"/>
        <v>12</v>
      </c>
      <c r="C19" s="624">
        <v>1</v>
      </c>
      <c r="D19" s="1182">
        <v>10</v>
      </c>
      <c r="E19" s="1196">
        <v>45093</v>
      </c>
      <c r="F19" s="1182">
        <f t="shared" si="0"/>
        <v>10</v>
      </c>
      <c r="G19" s="1183" t="s">
        <v>231</v>
      </c>
      <c r="H19" s="1184">
        <v>115</v>
      </c>
      <c r="I19" s="596">
        <f t="shared" si="10"/>
        <v>120</v>
      </c>
      <c r="K19" s="118"/>
      <c r="L19" s="676">
        <f t="shared" si="6"/>
        <v>2</v>
      </c>
      <c r="M19" s="624">
        <v>5</v>
      </c>
      <c r="N19" s="1246">
        <v>50</v>
      </c>
      <c r="O19" s="1247">
        <v>45125</v>
      </c>
      <c r="P19" s="1246">
        <f t="shared" si="1"/>
        <v>50</v>
      </c>
      <c r="Q19" s="1248" t="s">
        <v>624</v>
      </c>
      <c r="R19" s="1249">
        <v>100</v>
      </c>
      <c r="S19" s="596">
        <f t="shared" si="11"/>
        <v>20</v>
      </c>
      <c r="U19" s="118"/>
      <c r="V19" s="676">
        <f t="shared" si="7"/>
        <v>0</v>
      </c>
      <c r="W19" s="624"/>
      <c r="X19" s="565"/>
      <c r="Y19" s="592"/>
      <c r="Z19" s="1518">
        <f t="shared" si="2"/>
        <v>0</v>
      </c>
      <c r="AA19" s="1519"/>
      <c r="AB19" s="1520"/>
      <c r="AC19" s="1494">
        <f t="shared" si="12"/>
        <v>0</v>
      </c>
      <c r="AE19" s="118"/>
      <c r="AF19" s="676">
        <f t="shared" si="8"/>
        <v>13</v>
      </c>
      <c r="AG19" s="624"/>
      <c r="AH19" s="565"/>
      <c r="AI19" s="592"/>
      <c r="AJ19" s="565">
        <f t="shared" si="3"/>
        <v>0</v>
      </c>
      <c r="AK19" s="563"/>
      <c r="AL19" s="564"/>
      <c r="AM19" s="596">
        <f t="shared" si="13"/>
        <v>130</v>
      </c>
      <c r="AO19" s="118"/>
      <c r="AP19" s="676">
        <f t="shared" si="9"/>
        <v>15</v>
      </c>
      <c r="AQ19" s="624"/>
      <c r="AR19" s="565"/>
      <c r="AS19" s="592"/>
      <c r="AT19" s="565">
        <f t="shared" si="4"/>
        <v>0</v>
      </c>
      <c r="AU19" s="563"/>
      <c r="AV19" s="564"/>
      <c r="AW19" s="596">
        <f t="shared" si="14"/>
        <v>150</v>
      </c>
    </row>
    <row r="20" spans="1:49" x14ac:dyDescent="0.25">
      <c r="A20" s="118"/>
      <c r="B20" s="676">
        <f t="shared" si="5"/>
        <v>11</v>
      </c>
      <c r="C20" s="624">
        <v>1</v>
      </c>
      <c r="D20" s="1182">
        <v>10</v>
      </c>
      <c r="E20" s="1196">
        <v>45094</v>
      </c>
      <c r="F20" s="1182">
        <f t="shared" si="0"/>
        <v>10</v>
      </c>
      <c r="G20" s="1183" t="s">
        <v>239</v>
      </c>
      <c r="H20" s="1184">
        <v>110</v>
      </c>
      <c r="I20" s="596">
        <f t="shared" si="10"/>
        <v>110</v>
      </c>
      <c r="K20" s="118"/>
      <c r="L20" s="676">
        <f t="shared" si="6"/>
        <v>1</v>
      </c>
      <c r="M20" s="624">
        <v>1</v>
      </c>
      <c r="N20" s="1246">
        <v>10</v>
      </c>
      <c r="O20" s="1247">
        <v>45125</v>
      </c>
      <c r="P20" s="1246">
        <f t="shared" si="1"/>
        <v>10</v>
      </c>
      <c r="Q20" s="1248" t="s">
        <v>634</v>
      </c>
      <c r="R20" s="1249">
        <v>100</v>
      </c>
      <c r="S20" s="596">
        <f t="shared" si="11"/>
        <v>10</v>
      </c>
      <c r="U20" s="118"/>
      <c r="V20" s="676">
        <f t="shared" si="7"/>
        <v>0</v>
      </c>
      <c r="W20" s="624"/>
      <c r="X20" s="565"/>
      <c r="Y20" s="592"/>
      <c r="Z20" s="1518">
        <f t="shared" si="2"/>
        <v>0</v>
      </c>
      <c r="AA20" s="1519"/>
      <c r="AB20" s="1520"/>
      <c r="AC20" s="1494">
        <f t="shared" si="12"/>
        <v>0</v>
      </c>
      <c r="AE20" s="118"/>
      <c r="AF20" s="676">
        <f t="shared" si="8"/>
        <v>13</v>
      </c>
      <c r="AG20" s="624"/>
      <c r="AH20" s="565"/>
      <c r="AI20" s="592"/>
      <c r="AJ20" s="565">
        <f t="shared" si="3"/>
        <v>0</v>
      </c>
      <c r="AK20" s="563"/>
      <c r="AL20" s="564"/>
      <c r="AM20" s="596">
        <f t="shared" si="13"/>
        <v>130</v>
      </c>
      <c r="AO20" s="118"/>
      <c r="AP20" s="676">
        <f t="shared" si="9"/>
        <v>15</v>
      </c>
      <c r="AQ20" s="624"/>
      <c r="AR20" s="565"/>
      <c r="AS20" s="592"/>
      <c r="AT20" s="565">
        <f t="shared" si="4"/>
        <v>0</v>
      </c>
      <c r="AU20" s="563"/>
      <c r="AV20" s="564"/>
      <c r="AW20" s="596">
        <f t="shared" si="14"/>
        <v>150</v>
      </c>
    </row>
    <row r="21" spans="1:49" x14ac:dyDescent="0.25">
      <c r="A21" s="118"/>
      <c r="B21" s="676">
        <f t="shared" si="5"/>
        <v>10</v>
      </c>
      <c r="C21" s="624">
        <v>1</v>
      </c>
      <c r="D21" s="1182">
        <v>10</v>
      </c>
      <c r="E21" s="1196">
        <v>45096</v>
      </c>
      <c r="F21" s="1182">
        <f t="shared" si="0"/>
        <v>10</v>
      </c>
      <c r="G21" s="1183" t="s">
        <v>242</v>
      </c>
      <c r="H21" s="1184">
        <v>115</v>
      </c>
      <c r="I21" s="596">
        <f t="shared" si="10"/>
        <v>100</v>
      </c>
      <c r="K21" s="118"/>
      <c r="L21" s="676">
        <f t="shared" si="6"/>
        <v>0</v>
      </c>
      <c r="M21" s="624">
        <v>1</v>
      </c>
      <c r="N21" s="1246">
        <v>10</v>
      </c>
      <c r="O21" s="1247">
        <v>45136</v>
      </c>
      <c r="P21" s="1246">
        <f t="shared" si="1"/>
        <v>10</v>
      </c>
      <c r="Q21" s="1248" t="s">
        <v>723</v>
      </c>
      <c r="R21" s="1249">
        <v>100</v>
      </c>
      <c r="S21" s="596">
        <f t="shared" si="11"/>
        <v>0</v>
      </c>
      <c r="U21" s="118"/>
      <c r="V21" s="676">
        <f t="shared" si="7"/>
        <v>0</v>
      </c>
      <c r="W21" s="624"/>
      <c r="X21" s="565"/>
      <c r="Y21" s="592"/>
      <c r="Z21" s="1518">
        <f t="shared" si="2"/>
        <v>0</v>
      </c>
      <c r="AA21" s="1519"/>
      <c r="AB21" s="1520"/>
      <c r="AC21" s="1494">
        <f t="shared" si="12"/>
        <v>0</v>
      </c>
      <c r="AE21" s="118"/>
      <c r="AF21" s="676">
        <f t="shared" si="8"/>
        <v>13</v>
      </c>
      <c r="AG21" s="624"/>
      <c r="AH21" s="565"/>
      <c r="AI21" s="592"/>
      <c r="AJ21" s="565">
        <f t="shared" si="3"/>
        <v>0</v>
      </c>
      <c r="AK21" s="563"/>
      <c r="AL21" s="564"/>
      <c r="AM21" s="596">
        <f t="shared" si="13"/>
        <v>130</v>
      </c>
      <c r="AO21" s="118"/>
      <c r="AP21" s="676">
        <f t="shared" si="9"/>
        <v>15</v>
      </c>
      <c r="AQ21" s="624"/>
      <c r="AR21" s="565"/>
      <c r="AS21" s="592"/>
      <c r="AT21" s="565">
        <f t="shared" si="4"/>
        <v>0</v>
      </c>
      <c r="AU21" s="563"/>
      <c r="AV21" s="564"/>
      <c r="AW21" s="596">
        <f t="shared" si="14"/>
        <v>150</v>
      </c>
    </row>
    <row r="22" spans="1:49" x14ac:dyDescent="0.25">
      <c r="A22" s="118"/>
      <c r="B22" s="719">
        <f t="shared" si="5"/>
        <v>9</v>
      </c>
      <c r="C22" s="624">
        <v>1</v>
      </c>
      <c r="D22" s="1182">
        <v>10</v>
      </c>
      <c r="E22" s="1196">
        <v>45098</v>
      </c>
      <c r="F22" s="1182">
        <f t="shared" si="0"/>
        <v>10</v>
      </c>
      <c r="G22" s="1183" t="s">
        <v>245</v>
      </c>
      <c r="H22" s="1184">
        <v>115</v>
      </c>
      <c r="I22" s="596">
        <f t="shared" si="10"/>
        <v>90</v>
      </c>
      <c r="K22" s="118"/>
      <c r="L22" s="719">
        <f t="shared" si="6"/>
        <v>0</v>
      </c>
      <c r="M22" s="624"/>
      <c r="N22" s="1246"/>
      <c r="O22" s="1247"/>
      <c r="P22" s="1246">
        <f t="shared" si="1"/>
        <v>0</v>
      </c>
      <c r="Q22" s="1248"/>
      <c r="R22" s="1249"/>
      <c r="S22" s="596">
        <f t="shared" si="11"/>
        <v>0</v>
      </c>
      <c r="U22" s="118"/>
      <c r="V22" s="719">
        <f t="shared" si="7"/>
        <v>0</v>
      </c>
      <c r="W22" s="624"/>
      <c r="X22" s="565"/>
      <c r="Y22" s="592"/>
      <c r="Z22" s="1518">
        <f t="shared" si="2"/>
        <v>0</v>
      </c>
      <c r="AA22" s="1519"/>
      <c r="AB22" s="1520"/>
      <c r="AC22" s="1494">
        <f t="shared" si="12"/>
        <v>0</v>
      </c>
      <c r="AE22" s="118"/>
      <c r="AF22" s="719">
        <f t="shared" si="8"/>
        <v>13</v>
      </c>
      <c r="AG22" s="624"/>
      <c r="AH22" s="565"/>
      <c r="AI22" s="592"/>
      <c r="AJ22" s="565">
        <f t="shared" si="3"/>
        <v>0</v>
      </c>
      <c r="AK22" s="563"/>
      <c r="AL22" s="564"/>
      <c r="AM22" s="596">
        <f t="shared" si="13"/>
        <v>130</v>
      </c>
      <c r="AO22" s="118"/>
      <c r="AP22" s="719">
        <f t="shared" si="9"/>
        <v>15</v>
      </c>
      <c r="AQ22" s="624"/>
      <c r="AR22" s="565"/>
      <c r="AS22" s="592"/>
      <c r="AT22" s="565">
        <f t="shared" si="4"/>
        <v>0</v>
      </c>
      <c r="AU22" s="563"/>
      <c r="AV22" s="564"/>
      <c r="AW22" s="596">
        <f t="shared" si="14"/>
        <v>150</v>
      </c>
    </row>
    <row r="23" spans="1:49" x14ac:dyDescent="0.25">
      <c r="A23" s="119"/>
      <c r="B23" s="719">
        <f t="shared" si="5"/>
        <v>7</v>
      </c>
      <c r="C23" s="576">
        <v>2</v>
      </c>
      <c r="D23" s="1182">
        <v>20</v>
      </c>
      <c r="E23" s="1196">
        <v>45099</v>
      </c>
      <c r="F23" s="1182">
        <f t="shared" si="0"/>
        <v>20</v>
      </c>
      <c r="G23" s="1183" t="s">
        <v>221</v>
      </c>
      <c r="H23" s="1184">
        <v>115</v>
      </c>
      <c r="I23" s="596">
        <f t="shared" si="10"/>
        <v>70</v>
      </c>
      <c r="K23" s="119"/>
      <c r="L23" s="719">
        <f t="shared" si="6"/>
        <v>0</v>
      </c>
      <c r="M23" s="576"/>
      <c r="N23" s="1246"/>
      <c r="O23" s="1247"/>
      <c r="P23" s="1514">
        <f t="shared" si="1"/>
        <v>0</v>
      </c>
      <c r="Q23" s="1515"/>
      <c r="R23" s="1516"/>
      <c r="S23" s="1494">
        <f t="shared" si="11"/>
        <v>0</v>
      </c>
      <c r="U23" s="119"/>
      <c r="V23" s="719">
        <f t="shared" si="7"/>
        <v>0</v>
      </c>
      <c r="W23" s="576"/>
      <c r="X23" s="565"/>
      <c r="Y23" s="592"/>
      <c r="Z23" s="1518">
        <f t="shared" si="2"/>
        <v>0</v>
      </c>
      <c r="AA23" s="1519"/>
      <c r="AB23" s="1520"/>
      <c r="AC23" s="1494">
        <f t="shared" si="12"/>
        <v>0</v>
      </c>
      <c r="AE23" s="119"/>
      <c r="AF23" s="719">
        <f t="shared" si="8"/>
        <v>13</v>
      </c>
      <c r="AG23" s="576"/>
      <c r="AH23" s="565"/>
      <c r="AI23" s="592"/>
      <c r="AJ23" s="565">
        <f t="shared" si="3"/>
        <v>0</v>
      </c>
      <c r="AK23" s="563"/>
      <c r="AL23" s="564"/>
      <c r="AM23" s="596">
        <f t="shared" si="13"/>
        <v>130</v>
      </c>
      <c r="AO23" s="119"/>
      <c r="AP23" s="719">
        <f t="shared" si="9"/>
        <v>15</v>
      </c>
      <c r="AQ23" s="576"/>
      <c r="AR23" s="565"/>
      <c r="AS23" s="592"/>
      <c r="AT23" s="565">
        <f t="shared" si="4"/>
        <v>0</v>
      </c>
      <c r="AU23" s="563"/>
      <c r="AV23" s="564"/>
      <c r="AW23" s="596">
        <f t="shared" si="14"/>
        <v>150</v>
      </c>
    </row>
    <row r="24" spans="1:49" x14ac:dyDescent="0.25">
      <c r="A24" s="118"/>
      <c r="B24" s="719">
        <f t="shared" si="5"/>
        <v>6</v>
      </c>
      <c r="C24" s="624">
        <v>1</v>
      </c>
      <c r="D24" s="1182">
        <v>10</v>
      </c>
      <c r="E24" s="1196">
        <v>45099</v>
      </c>
      <c r="F24" s="1182">
        <f t="shared" si="0"/>
        <v>10</v>
      </c>
      <c r="G24" s="1183" t="s">
        <v>251</v>
      </c>
      <c r="H24" s="1184">
        <v>115</v>
      </c>
      <c r="I24" s="596">
        <f t="shared" si="10"/>
        <v>60</v>
      </c>
      <c r="K24" s="118"/>
      <c r="L24" s="719">
        <f t="shared" si="6"/>
        <v>0</v>
      </c>
      <c r="M24" s="624"/>
      <c r="N24" s="1246"/>
      <c r="O24" s="1247"/>
      <c r="P24" s="1514">
        <f t="shared" si="1"/>
        <v>0</v>
      </c>
      <c r="Q24" s="1515"/>
      <c r="R24" s="1516"/>
      <c r="S24" s="1494">
        <f t="shared" si="11"/>
        <v>0</v>
      </c>
      <c r="U24" s="118"/>
      <c r="V24" s="719">
        <f t="shared" si="7"/>
        <v>0</v>
      </c>
      <c r="W24" s="624"/>
      <c r="X24" s="565"/>
      <c r="Y24" s="592"/>
      <c r="Z24" s="565">
        <f t="shared" si="2"/>
        <v>0</v>
      </c>
      <c r="AA24" s="563"/>
      <c r="AB24" s="564"/>
      <c r="AC24" s="596">
        <f t="shared" si="12"/>
        <v>0</v>
      </c>
      <c r="AE24" s="118"/>
      <c r="AF24" s="719">
        <f t="shared" si="8"/>
        <v>13</v>
      </c>
      <c r="AG24" s="624"/>
      <c r="AH24" s="565"/>
      <c r="AI24" s="592"/>
      <c r="AJ24" s="565">
        <f t="shared" si="3"/>
        <v>0</v>
      </c>
      <c r="AK24" s="563"/>
      <c r="AL24" s="564"/>
      <c r="AM24" s="596">
        <f t="shared" si="13"/>
        <v>130</v>
      </c>
      <c r="AO24" s="118"/>
      <c r="AP24" s="719">
        <f t="shared" si="9"/>
        <v>15</v>
      </c>
      <c r="AQ24" s="624"/>
      <c r="AR24" s="565"/>
      <c r="AS24" s="592"/>
      <c r="AT24" s="565">
        <f t="shared" si="4"/>
        <v>0</v>
      </c>
      <c r="AU24" s="563"/>
      <c r="AV24" s="564"/>
      <c r="AW24" s="596">
        <f t="shared" si="14"/>
        <v>150</v>
      </c>
    </row>
    <row r="25" spans="1:49" x14ac:dyDescent="0.25">
      <c r="A25" s="118"/>
      <c r="B25" s="719">
        <f t="shared" si="5"/>
        <v>4</v>
      </c>
      <c r="C25" s="624">
        <v>2</v>
      </c>
      <c r="D25" s="1182">
        <v>20</v>
      </c>
      <c r="E25" s="1196">
        <v>45104</v>
      </c>
      <c r="F25" s="1182">
        <f t="shared" si="0"/>
        <v>20</v>
      </c>
      <c r="G25" s="1183" t="s">
        <v>274</v>
      </c>
      <c r="H25" s="1184">
        <v>115</v>
      </c>
      <c r="I25" s="596">
        <f t="shared" si="10"/>
        <v>40</v>
      </c>
      <c r="K25" s="118"/>
      <c r="L25" s="719">
        <f t="shared" si="6"/>
        <v>0</v>
      </c>
      <c r="M25" s="624"/>
      <c r="N25" s="1246"/>
      <c r="O25" s="1247"/>
      <c r="P25" s="1514">
        <f t="shared" si="1"/>
        <v>0</v>
      </c>
      <c r="Q25" s="1515"/>
      <c r="R25" s="1516"/>
      <c r="S25" s="1494">
        <f t="shared" si="11"/>
        <v>0</v>
      </c>
      <c r="U25" s="118"/>
      <c r="V25" s="719">
        <f t="shared" si="7"/>
        <v>0</v>
      </c>
      <c r="W25" s="624"/>
      <c r="X25" s="565"/>
      <c r="Y25" s="592"/>
      <c r="Z25" s="565">
        <f t="shared" si="2"/>
        <v>0</v>
      </c>
      <c r="AA25" s="563"/>
      <c r="AB25" s="564"/>
      <c r="AC25" s="596">
        <f t="shared" si="12"/>
        <v>0</v>
      </c>
      <c r="AE25" s="118"/>
      <c r="AF25" s="719">
        <f t="shared" si="8"/>
        <v>13</v>
      </c>
      <c r="AG25" s="624"/>
      <c r="AH25" s="565"/>
      <c r="AI25" s="592"/>
      <c r="AJ25" s="565">
        <f t="shared" si="3"/>
        <v>0</v>
      </c>
      <c r="AK25" s="563"/>
      <c r="AL25" s="564"/>
      <c r="AM25" s="596">
        <f t="shared" si="13"/>
        <v>130</v>
      </c>
      <c r="AO25" s="118"/>
      <c r="AP25" s="719">
        <f t="shared" si="9"/>
        <v>15</v>
      </c>
      <c r="AQ25" s="624"/>
      <c r="AR25" s="565"/>
      <c r="AS25" s="592"/>
      <c r="AT25" s="565">
        <f t="shared" si="4"/>
        <v>0</v>
      </c>
      <c r="AU25" s="563"/>
      <c r="AV25" s="564"/>
      <c r="AW25" s="596">
        <f t="shared" si="14"/>
        <v>150</v>
      </c>
    </row>
    <row r="26" spans="1:49" x14ac:dyDescent="0.25">
      <c r="A26" s="118"/>
      <c r="B26" s="670">
        <f t="shared" si="5"/>
        <v>3</v>
      </c>
      <c r="C26" s="624">
        <v>1</v>
      </c>
      <c r="D26" s="1182">
        <v>10</v>
      </c>
      <c r="E26" s="1196">
        <v>45106</v>
      </c>
      <c r="F26" s="1182">
        <f t="shared" si="0"/>
        <v>10</v>
      </c>
      <c r="G26" s="1183" t="s">
        <v>290</v>
      </c>
      <c r="H26" s="1184">
        <v>115</v>
      </c>
      <c r="I26" s="596">
        <f t="shared" si="10"/>
        <v>30</v>
      </c>
      <c r="K26" s="118"/>
      <c r="L26" s="670">
        <f t="shared" si="6"/>
        <v>0</v>
      </c>
      <c r="M26" s="624"/>
      <c r="N26" s="1246"/>
      <c r="O26" s="1247"/>
      <c r="P26" s="1514">
        <f t="shared" si="1"/>
        <v>0</v>
      </c>
      <c r="Q26" s="1515"/>
      <c r="R26" s="1516"/>
      <c r="S26" s="1494">
        <f t="shared" si="11"/>
        <v>0</v>
      </c>
      <c r="U26" s="118"/>
      <c r="V26" s="670">
        <f t="shared" si="7"/>
        <v>0</v>
      </c>
      <c r="W26" s="624"/>
      <c r="X26" s="565"/>
      <c r="Y26" s="592"/>
      <c r="Z26" s="565">
        <f t="shared" si="2"/>
        <v>0</v>
      </c>
      <c r="AA26" s="563"/>
      <c r="AB26" s="564"/>
      <c r="AC26" s="596">
        <f t="shared" si="12"/>
        <v>0</v>
      </c>
      <c r="AE26" s="118"/>
      <c r="AF26" s="670">
        <f t="shared" si="8"/>
        <v>13</v>
      </c>
      <c r="AG26" s="624"/>
      <c r="AH26" s="565"/>
      <c r="AI26" s="592"/>
      <c r="AJ26" s="565">
        <f t="shared" si="3"/>
        <v>0</v>
      </c>
      <c r="AK26" s="563"/>
      <c r="AL26" s="564"/>
      <c r="AM26" s="596">
        <f t="shared" si="13"/>
        <v>130</v>
      </c>
      <c r="AO26" s="118"/>
      <c r="AP26" s="670">
        <f t="shared" si="9"/>
        <v>15</v>
      </c>
      <c r="AQ26" s="624"/>
      <c r="AR26" s="565"/>
      <c r="AS26" s="592"/>
      <c r="AT26" s="565">
        <f t="shared" si="4"/>
        <v>0</v>
      </c>
      <c r="AU26" s="563"/>
      <c r="AV26" s="564"/>
      <c r="AW26" s="596">
        <f t="shared" si="14"/>
        <v>150</v>
      </c>
    </row>
    <row r="27" spans="1:49" x14ac:dyDescent="0.25">
      <c r="A27" s="118"/>
      <c r="B27" s="1297">
        <f t="shared" si="5"/>
        <v>1</v>
      </c>
      <c r="C27" s="624">
        <v>2</v>
      </c>
      <c r="D27" s="1182">
        <v>20</v>
      </c>
      <c r="E27" s="1196">
        <v>45108</v>
      </c>
      <c r="F27" s="1182">
        <f t="shared" si="0"/>
        <v>20</v>
      </c>
      <c r="G27" s="1183" t="s">
        <v>302</v>
      </c>
      <c r="H27" s="1184">
        <v>115</v>
      </c>
      <c r="I27" s="625">
        <f t="shared" si="10"/>
        <v>10</v>
      </c>
      <c r="K27" s="118"/>
      <c r="L27" s="719">
        <f t="shared" si="6"/>
        <v>0</v>
      </c>
      <c r="M27" s="624"/>
      <c r="N27" s="1246"/>
      <c r="O27" s="1247"/>
      <c r="P27" s="1246">
        <f t="shared" si="1"/>
        <v>0</v>
      </c>
      <c r="Q27" s="1248"/>
      <c r="R27" s="1249"/>
      <c r="S27" s="596">
        <f t="shared" si="11"/>
        <v>0</v>
      </c>
      <c r="U27" s="118"/>
      <c r="V27" s="719">
        <f t="shared" si="7"/>
        <v>0</v>
      </c>
      <c r="W27" s="624"/>
      <c r="X27" s="565"/>
      <c r="Y27" s="592"/>
      <c r="Z27" s="565">
        <f t="shared" si="2"/>
        <v>0</v>
      </c>
      <c r="AA27" s="563"/>
      <c r="AB27" s="564"/>
      <c r="AC27" s="596">
        <f t="shared" si="12"/>
        <v>0</v>
      </c>
      <c r="AE27" s="118"/>
      <c r="AF27" s="719">
        <f t="shared" si="8"/>
        <v>13</v>
      </c>
      <c r="AG27" s="624"/>
      <c r="AH27" s="565"/>
      <c r="AI27" s="592"/>
      <c r="AJ27" s="565">
        <f t="shared" si="3"/>
        <v>0</v>
      </c>
      <c r="AK27" s="563"/>
      <c r="AL27" s="564"/>
      <c r="AM27" s="596">
        <f t="shared" si="13"/>
        <v>130</v>
      </c>
      <c r="AO27" s="118"/>
      <c r="AP27" s="719">
        <f t="shared" si="9"/>
        <v>15</v>
      </c>
      <c r="AQ27" s="624"/>
      <c r="AR27" s="565"/>
      <c r="AS27" s="592"/>
      <c r="AT27" s="565">
        <f t="shared" si="4"/>
        <v>0</v>
      </c>
      <c r="AU27" s="563"/>
      <c r="AV27" s="564"/>
      <c r="AW27" s="596">
        <f t="shared" si="14"/>
        <v>150</v>
      </c>
    </row>
    <row r="28" spans="1:49" x14ac:dyDescent="0.25">
      <c r="A28" s="118"/>
      <c r="B28" s="670">
        <f t="shared" si="5"/>
        <v>1</v>
      </c>
      <c r="C28" s="624"/>
      <c r="D28" s="1182"/>
      <c r="E28" s="1196"/>
      <c r="F28" s="1182">
        <f t="shared" si="0"/>
        <v>0</v>
      </c>
      <c r="G28" s="1183"/>
      <c r="H28" s="1184"/>
      <c r="I28" s="596">
        <f t="shared" si="10"/>
        <v>10</v>
      </c>
      <c r="K28" s="118"/>
      <c r="L28" s="670">
        <f t="shared" si="6"/>
        <v>0</v>
      </c>
      <c r="M28" s="624"/>
      <c r="N28" s="1246"/>
      <c r="O28" s="1247"/>
      <c r="P28" s="1246">
        <f t="shared" si="1"/>
        <v>0</v>
      </c>
      <c r="Q28" s="1248"/>
      <c r="R28" s="1249"/>
      <c r="S28" s="596">
        <f t="shared" si="11"/>
        <v>0</v>
      </c>
      <c r="U28" s="118"/>
      <c r="V28" s="670">
        <f t="shared" si="7"/>
        <v>0</v>
      </c>
      <c r="W28" s="624"/>
      <c r="X28" s="565"/>
      <c r="Y28" s="592"/>
      <c r="Z28" s="565">
        <f t="shared" si="2"/>
        <v>0</v>
      </c>
      <c r="AA28" s="563"/>
      <c r="AB28" s="564"/>
      <c r="AC28" s="596">
        <f t="shared" si="12"/>
        <v>0</v>
      </c>
      <c r="AE28" s="118"/>
      <c r="AF28" s="670">
        <f t="shared" si="8"/>
        <v>13</v>
      </c>
      <c r="AG28" s="624"/>
      <c r="AH28" s="565"/>
      <c r="AI28" s="592"/>
      <c r="AJ28" s="565">
        <f t="shared" si="3"/>
        <v>0</v>
      </c>
      <c r="AK28" s="563"/>
      <c r="AL28" s="564"/>
      <c r="AM28" s="596">
        <f t="shared" si="13"/>
        <v>130</v>
      </c>
      <c r="AO28" s="118"/>
      <c r="AP28" s="670">
        <f t="shared" si="9"/>
        <v>15</v>
      </c>
      <c r="AQ28" s="624"/>
      <c r="AR28" s="565"/>
      <c r="AS28" s="592"/>
      <c r="AT28" s="565">
        <f t="shared" si="4"/>
        <v>0</v>
      </c>
      <c r="AU28" s="563"/>
      <c r="AV28" s="564"/>
      <c r="AW28" s="596">
        <f t="shared" si="14"/>
        <v>150</v>
      </c>
    </row>
    <row r="29" spans="1:49" x14ac:dyDescent="0.25">
      <c r="A29" s="118"/>
      <c r="B29" s="219">
        <f t="shared" si="5"/>
        <v>0</v>
      </c>
      <c r="C29" s="15">
        <v>1</v>
      </c>
      <c r="D29" s="1277">
        <v>10</v>
      </c>
      <c r="E29" s="1245">
        <v>45110</v>
      </c>
      <c r="F29" s="750">
        <f t="shared" si="0"/>
        <v>10</v>
      </c>
      <c r="G29" s="751" t="s">
        <v>491</v>
      </c>
      <c r="H29" s="593">
        <v>115</v>
      </c>
      <c r="I29" s="596">
        <f t="shared" si="10"/>
        <v>0</v>
      </c>
      <c r="K29" s="118"/>
      <c r="L29" s="219">
        <f t="shared" si="6"/>
        <v>0</v>
      </c>
      <c r="M29" s="15"/>
      <c r="N29" s="1202"/>
      <c r="O29" s="1247"/>
      <c r="P29" s="1246">
        <f t="shared" si="1"/>
        <v>0</v>
      </c>
      <c r="Q29" s="1248"/>
      <c r="R29" s="1249"/>
      <c r="S29" s="596">
        <f t="shared" si="11"/>
        <v>0</v>
      </c>
      <c r="U29" s="118"/>
      <c r="V29" s="219">
        <f t="shared" si="7"/>
        <v>0</v>
      </c>
      <c r="W29" s="15"/>
      <c r="X29" s="68"/>
      <c r="Y29" s="592"/>
      <c r="Z29" s="565">
        <f t="shared" si="2"/>
        <v>0</v>
      </c>
      <c r="AA29" s="563"/>
      <c r="AB29" s="564"/>
      <c r="AC29" s="596">
        <f t="shared" si="12"/>
        <v>0</v>
      </c>
      <c r="AE29" s="118"/>
      <c r="AF29" s="719">
        <f t="shared" si="8"/>
        <v>13</v>
      </c>
      <c r="AG29" s="624"/>
      <c r="AH29" s="565"/>
      <c r="AI29" s="592"/>
      <c r="AJ29" s="565">
        <f t="shared" si="3"/>
        <v>0</v>
      </c>
      <c r="AK29" s="563"/>
      <c r="AL29" s="564"/>
      <c r="AM29" s="596">
        <f t="shared" si="13"/>
        <v>130</v>
      </c>
      <c r="AO29" s="118"/>
      <c r="AP29" s="219">
        <f t="shared" si="9"/>
        <v>15</v>
      </c>
      <c r="AQ29" s="15"/>
      <c r="AR29" s="68"/>
      <c r="AS29" s="592"/>
      <c r="AT29" s="565">
        <f t="shared" si="4"/>
        <v>0</v>
      </c>
      <c r="AU29" s="563"/>
      <c r="AV29" s="564"/>
      <c r="AW29" s="596">
        <f t="shared" si="14"/>
        <v>150</v>
      </c>
    </row>
    <row r="30" spans="1:49" x14ac:dyDescent="0.25">
      <c r="A30" s="118"/>
      <c r="B30" s="219">
        <f t="shared" si="5"/>
        <v>0</v>
      </c>
      <c r="C30" s="15"/>
      <c r="D30" s="1277"/>
      <c r="E30" s="1245"/>
      <c r="F30" s="1491">
        <f t="shared" si="0"/>
        <v>0</v>
      </c>
      <c r="G30" s="1492"/>
      <c r="H30" s="1493"/>
      <c r="I30" s="1494">
        <f t="shared" si="10"/>
        <v>0</v>
      </c>
      <c r="K30" s="118"/>
      <c r="L30" s="219">
        <f t="shared" si="6"/>
        <v>0</v>
      </c>
      <c r="M30" s="15"/>
      <c r="N30" s="1202"/>
      <c r="O30" s="1247"/>
      <c r="P30" s="1246">
        <f t="shared" si="1"/>
        <v>0</v>
      </c>
      <c r="Q30" s="1248"/>
      <c r="R30" s="1249"/>
      <c r="S30" s="596">
        <f t="shared" si="11"/>
        <v>0</v>
      </c>
      <c r="U30" s="118"/>
      <c r="V30" s="219">
        <f t="shared" si="7"/>
        <v>0</v>
      </c>
      <c r="W30" s="15"/>
      <c r="X30" s="68"/>
      <c r="Y30" s="592"/>
      <c r="Z30" s="565">
        <f t="shared" si="2"/>
        <v>0</v>
      </c>
      <c r="AA30" s="563"/>
      <c r="AB30" s="564"/>
      <c r="AC30" s="596">
        <f t="shared" si="12"/>
        <v>0</v>
      </c>
      <c r="AE30" s="118"/>
      <c r="AF30" s="719">
        <f t="shared" si="8"/>
        <v>13</v>
      </c>
      <c r="AG30" s="624"/>
      <c r="AH30" s="565"/>
      <c r="AI30" s="592"/>
      <c r="AJ30" s="565">
        <f t="shared" si="3"/>
        <v>0</v>
      </c>
      <c r="AK30" s="563"/>
      <c r="AL30" s="564"/>
      <c r="AM30" s="596">
        <f t="shared" si="13"/>
        <v>130</v>
      </c>
      <c r="AO30" s="118"/>
      <c r="AP30" s="219">
        <f t="shared" si="9"/>
        <v>15</v>
      </c>
      <c r="AQ30" s="15"/>
      <c r="AR30" s="68"/>
      <c r="AS30" s="592"/>
      <c r="AT30" s="565">
        <f t="shared" si="4"/>
        <v>0</v>
      </c>
      <c r="AU30" s="563"/>
      <c r="AV30" s="564"/>
      <c r="AW30" s="596">
        <f t="shared" si="14"/>
        <v>150</v>
      </c>
    </row>
    <row r="31" spans="1:49" x14ac:dyDescent="0.25">
      <c r="A31" s="118"/>
      <c r="B31" s="219">
        <f t="shared" si="5"/>
        <v>0</v>
      </c>
      <c r="C31" s="15"/>
      <c r="D31" s="1277"/>
      <c r="E31" s="1298"/>
      <c r="F31" s="1491">
        <f t="shared" si="0"/>
        <v>0</v>
      </c>
      <c r="G31" s="1492"/>
      <c r="H31" s="1493"/>
      <c r="I31" s="1494">
        <f t="shared" si="10"/>
        <v>0</v>
      </c>
      <c r="K31" s="118"/>
      <c r="L31" s="219">
        <f t="shared" si="6"/>
        <v>0</v>
      </c>
      <c r="M31" s="15"/>
      <c r="N31" s="1061"/>
      <c r="O31" s="1299"/>
      <c r="P31" s="1061">
        <f t="shared" si="1"/>
        <v>0</v>
      </c>
      <c r="Q31" s="1062"/>
      <c r="R31" s="1063"/>
      <c r="S31" s="102">
        <f t="shared" si="11"/>
        <v>0</v>
      </c>
      <c r="U31" s="118"/>
      <c r="V31" s="219">
        <f t="shared" si="7"/>
        <v>0</v>
      </c>
      <c r="W31" s="15"/>
      <c r="X31" s="68"/>
      <c r="Y31" s="191"/>
      <c r="Z31" s="565">
        <f t="shared" si="2"/>
        <v>0</v>
      </c>
      <c r="AA31" s="69"/>
      <c r="AB31" s="70"/>
      <c r="AC31" s="102">
        <f t="shared" si="12"/>
        <v>0</v>
      </c>
      <c r="AE31" s="118"/>
      <c r="AF31" s="719">
        <f t="shared" si="8"/>
        <v>13</v>
      </c>
      <c r="AG31" s="624"/>
      <c r="AH31" s="565"/>
      <c r="AI31" s="592"/>
      <c r="AJ31" s="565">
        <f t="shared" si="3"/>
        <v>0</v>
      </c>
      <c r="AK31" s="563"/>
      <c r="AL31" s="564"/>
      <c r="AM31" s="596">
        <f t="shared" si="13"/>
        <v>130</v>
      </c>
      <c r="AO31" s="118"/>
      <c r="AP31" s="219">
        <f t="shared" si="9"/>
        <v>15</v>
      </c>
      <c r="AQ31" s="15"/>
      <c r="AR31" s="68"/>
      <c r="AS31" s="191"/>
      <c r="AT31" s="68">
        <f t="shared" si="4"/>
        <v>0</v>
      </c>
      <c r="AU31" s="69"/>
      <c r="AV31" s="70"/>
      <c r="AW31" s="102">
        <f t="shared" si="14"/>
        <v>150</v>
      </c>
    </row>
    <row r="32" spans="1:49" x14ac:dyDescent="0.25">
      <c r="A32" s="118"/>
      <c r="B32" s="219">
        <f t="shared" si="5"/>
        <v>0</v>
      </c>
      <c r="C32" s="15"/>
      <c r="D32" s="1277"/>
      <c r="E32" s="1298"/>
      <c r="F32" s="1491">
        <f t="shared" si="0"/>
        <v>0</v>
      </c>
      <c r="G32" s="1492"/>
      <c r="H32" s="1493"/>
      <c r="I32" s="1494">
        <f t="shared" si="10"/>
        <v>0</v>
      </c>
      <c r="K32" s="118"/>
      <c r="L32" s="219">
        <f t="shared" si="6"/>
        <v>0</v>
      </c>
      <c r="M32" s="15"/>
      <c r="N32" s="1061"/>
      <c r="O32" s="1299"/>
      <c r="P32" s="1061">
        <f t="shared" si="1"/>
        <v>0</v>
      </c>
      <c r="Q32" s="1062"/>
      <c r="R32" s="1063"/>
      <c r="S32" s="102">
        <f t="shared" si="11"/>
        <v>0</v>
      </c>
      <c r="U32" s="118"/>
      <c r="V32" s="219">
        <f t="shared" si="7"/>
        <v>0</v>
      </c>
      <c r="W32" s="15"/>
      <c r="X32" s="68"/>
      <c r="Y32" s="191"/>
      <c r="Z32" s="565">
        <f t="shared" si="2"/>
        <v>0</v>
      </c>
      <c r="AA32" s="69"/>
      <c r="AB32" s="70"/>
      <c r="AC32" s="102">
        <f t="shared" si="12"/>
        <v>0</v>
      </c>
      <c r="AE32" s="118"/>
      <c r="AF32" s="719">
        <f t="shared" si="8"/>
        <v>13</v>
      </c>
      <c r="AG32" s="624"/>
      <c r="AH32" s="565"/>
      <c r="AI32" s="592"/>
      <c r="AJ32" s="565">
        <f t="shared" si="3"/>
        <v>0</v>
      </c>
      <c r="AK32" s="563"/>
      <c r="AL32" s="564"/>
      <c r="AM32" s="596">
        <f t="shared" si="13"/>
        <v>130</v>
      </c>
      <c r="AO32" s="118"/>
      <c r="AP32" s="219">
        <f t="shared" si="9"/>
        <v>15</v>
      </c>
      <c r="AQ32" s="15"/>
      <c r="AR32" s="68"/>
      <c r="AS32" s="191"/>
      <c r="AT32" s="68">
        <f t="shared" si="4"/>
        <v>0</v>
      </c>
      <c r="AU32" s="69"/>
      <c r="AV32" s="70"/>
      <c r="AW32" s="102">
        <f t="shared" si="14"/>
        <v>150</v>
      </c>
    </row>
    <row r="33" spans="1:49" x14ac:dyDescent="0.25">
      <c r="A33" s="118"/>
      <c r="B33" s="219">
        <f t="shared" si="5"/>
        <v>0</v>
      </c>
      <c r="C33" s="15"/>
      <c r="D33" s="1277"/>
      <c r="E33" s="1298"/>
      <c r="F33" s="1491">
        <f t="shared" si="0"/>
        <v>0</v>
      </c>
      <c r="G33" s="1492"/>
      <c r="H33" s="1493"/>
      <c r="I33" s="1494">
        <f t="shared" si="10"/>
        <v>0</v>
      </c>
      <c r="K33" s="118"/>
      <c r="L33" s="219">
        <f t="shared" si="6"/>
        <v>0</v>
      </c>
      <c r="M33" s="15"/>
      <c r="N33" s="1061"/>
      <c r="O33" s="1299"/>
      <c r="P33" s="1061">
        <f t="shared" si="1"/>
        <v>0</v>
      </c>
      <c r="Q33" s="1062"/>
      <c r="R33" s="1063"/>
      <c r="S33" s="102">
        <f t="shared" si="11"/>
        <v>0</v>
      </c>
      <c r="U33" s="118"/>
      <c r="V33" s="219">
        <f t="shared" si="7"/>
        <v>0</v>
      </c>
      <c r="W33" s="15"/>
      <c r="X33" s="68"/>
      <c r="Y33" s="191"/>
      <c r="Z33" s="565">
        <f t="shared" si="2"/>
        <v>0</v>
      </c>
      <c r="AA33" s="69"/>
      <c r="AB33" s="70"/>
      <c r="AC33" s="102">
        <f t="shared" si="12"/>
        <v>0</v>
      </c>
      <c r="AE33" s="118"/>
      <c r="AF33" s="719">
        <f t="shared" si="8"/>
        <v>13</v>
      </c>
      <c r="AG33" s="624"/>
      <c r="AH33" s="565"/>
      <c r="AI33" s="592"/>
      <c r="AJ33" s="565">
        <f t="shared" si="3"/>
        <v>0</v>
      </c>
      <c r="AK33" s="563"/>
      <c r="AL33" s="564"/>
      <c r="AM33" s="596">
        <f t="shared" si="13"/>
        <v>130</v>
      </c>
      <c r="AO33" s="118"/>
      <c r="AP33" s="219">
        <f t="shared" si="9"/>
        <v>15</v>
      </c>
      <c r="AQ33" s="15"/>
      <c r="AR33" s="68"/>
      <c r="AS33" s="191"/>
      <c r="AT33" s="68">
        <f t="shared" si="4"/>
        <v>0</v>
      </c>
      <c r="AU33" s="69"/>
      <c r="AV33" s="70"/>
      <c r="AW33" s="102">
        <f t="shared" si="14"/>
        <v>150</v>
      </c>
    </row>
    <row r="34" spans="1:49" x14ac:dyDescent="0.25">
      <c r="A34" s="118"/>
      <c r="B34" s="219">
        <f t="shared" si="5"/>
        <v>0</v>
      </c>
      <c r="C34" s="15"/>
      <c r="D34" s="1277"/>
      <c r="E34" s="1298"/>
      <c r="F34" s="1491">
        <f t="shared" si="0"/>
        <v>0</v>
      </c>
      <c r="G34" s="1492"/>
      <c r="H34" s="1493"/>
      <c r="I34" s="1494">
        <f t="shared" si="10"/>
        <v>0</v>
      </c>
      <c r="K34" s="118"/>
      <c r="L34" s="219">
        <f t="shared" si="6"/>
        <v>0</v>
      </c>
      <c r="M34" s="15"/>
      <c r="N34" s="1061"/>
      <c r="O34" s="1299"/>
      <c r="P34" s="1061">
        <f t="shared" si="1"/>
        <v>0</v>
      </c>
      <c r="Q34" s="1062"/>
      <c r="R34" s="1063"/>
      <c r="S34" s="102">
        <f t="shared" si="11"/>
        <v>0</v>
      </c>
      <c r="U34" s="118"/>
      <c r="V34" s="219">
        <f t="shared" si="7"/>
        <v>0</v>
      </c>
      <c r="W34" s="15"/>
      <c r="X34" s="68"/>
      <c r="Y34" s="191"/>
      <c r="Z34" s="565">
        <f t="shared" si="2"/>
        <v>0</v>
      </c>
      <c r="AA34" s="69"/>
      <c r="AB34" s="70"/>
      <c r="AC34" s="102">
        <f t="shared" si="12"/>
        <v>0</v>
      </c>
      <c r="AE34" s="118"/>
      <c r="AF34" s="719">
        <f t="shared" si="8"/>
        <v>13</v>
      </c>
      <c r="AG34" s="624"/>
      <c r="AH34" s="565"/>
      <c r="AI34" s="592"/>
      <c r="AJ34" s="565">
        <f t="shared" si="3"/>
        <v>0</v>
      </c>
      <c r="AK34" s="563"/>
      <c r="AL34" s="564"/>
      <c r="AM34" s="596">
        <f t="shared" si="13"/>
        <v>130</v>
      </c>
      <c r="AO34" s="118"/>
      <c r="AP34" s="219">
        <f t="shared" si="9"/>
        <v>15</v>
      </c>
      <c r="AQ34" s="15"/>
      <c r="AR34" s="68"/>
      <c r="AS34" s="191"/>
      <c r="AT34" s="68">
        <f t="shared" si="4"/>
        <v>0</v>
      </c>
      <c r="AU34" s="69"/>
      <c r="AV34" s="70"/>
      <c r="AW34" s="102">
        <f t="shared" si="14"/>
        <v>150</v>
      </c>
    </row>
    <row r="35" spans="1:49" x14ac:dyDescent="0.25">
      <c r="A35" s="118"/>
      <c r="B35" s="219">
        <f t="shared" si="5"/>
        <v>0</v>
      </c>
      <c r="C35" s="15"/>
      <c r="D35" s="1277"/>
      <c r="E35" s="1298"/>
      <c r="F35" s="1491">
        <f t="shared" si="0"/>
        <v>0</v>
      </c>
      <c r="G35" s="1492"/>
      <c r="H35" s="1493"/>
      <c r="I35" s="1494">
        <f t="shared" si="10"/>
        <v>0</v>
      </c>
      <c r="K35" s="118"/>
      <c r="L35" s="219">
        <f t="shared" si="6"/>
        <v>0</v>
      </c>
      <c r="M35" s="15"/>
      <c r="N35" s="1061"/>
      <c r="O35" s="1299"/>
      <c r="P35" s="1061">
        <f t="shared" si="1"/>
        <v>0</v>
      </c>
      <c r="Q35" s="1062"/>
      <c r="R35" s="1063"/>
      <c r="S35" s="102">
        <f t="shared" si="11"/>
        <v>0</v>
      </c>
      <c r="U35" s="118"/>
      <c r="V35" s="219">
        <f t="shared" si="7"/>
        <v>0</v>
      </c>
      <c r="W35" s="15"/>
      <c r="X35" s="68"/>
      <c r="Y35" s="191"/>
      <c r="Z35" s="565">
        <f t="shared" si="2"/>
        <v>0</v>
      </c>
      <c r="AA35" s="69"/>
      <c r="AB35" s="70"/>
      <c r="AC35" s="102">
        <f t="shared" si="12"/>
        <v>0</v>
      </c>
      <c r="AE35" s="118"/>
      <c r="AF35" s="719">
        <f t="shared" si="8"/>
        <v>13</v>
      </c>
      <c r="AG35" s="624"/>
      <c r="AH35" s="565"/>
      <c r="AI35" s="592"/>
      <c r="AJ35" s="565">
        <f t="shared" si="3"/>
        <v>0</v>
      </c>
      <c r="AK35" s="563"/>
      <c r="AL35" s="564"/>
      <c r="AM35" s="596">
        <f t="shared" si="13"/>
        <v>130</v>
      </c>
      <c r="AO35" s="118"/>
      <c r="AP35" s="219">
        <f t="shared" si="9"/>
        <v>15</v>
      </c>
      <c r="AQ35" s="15"/>
      <c r="AR35" s="68"/>
      <c r="AS35" s="191"/>
      <c r="AT35" s="68">
        <f t="shared" si="4"/>
        <v>0</v>
      </c>
      <c r="AU35" s="69"/>
      <c r="AV35" s="70"/>
      <c r="AW35" s="102">
        <f t="shared" si="14"/>
        <v>150</v>
      </c>
    </row>
    <row r="36" spans="1:49" x14ac:dyDescent="0.25">
      <c r="A36" s="118" t="s">
        <v>22</v>
      </c>
      <c r="B36" s="219">
        <f t="shared" si="5"/>
        <v>0</v>
      </c>
      <c r="C36" s="15"/>
      <c r="D36" s="1277"/>
      <c r="E36" s="1298"/>
      <c r="F36" s="1277">
        <f t="shared" si="0"/>
        <v>0</v>
      </c>
      <c r="G36" s="1276"/>
      <c r="H36" s="194"/>
      <c r="I36" s="102">
        <f t="shared" si="10"/>
        <v>0</v>
      </c>
      <c r="K36" s="118" t="s">
        <v>22</v>
      </c>
      <c r="L36" s="219">
        <f t="shared" si="6"/>
        <v>0</v>
      </c>
      <c r="M36" s="15"/>
      <c r="N36" s="1061"/>
      <c r="O36" s="1299"/>
      <c r="P36" s="1061">
        <f t="shared" si="1"/>
        <v>0</v>
      </c>
      <c r="Q36" s="1062"/>
      <c r="R36" s="1063"/>
      <c r="S36" s="102">
        <f t="shared" si="11"/>
        <v>0</v>
      </c>
      <c r="U36" s="118" t="s">
        <v>22</v>
      </c>
      <c r="V36" s="219">
        <f t="shared" si="7"/>
        <v>0</v>
      </c>
      <c r="W36" s="15"/>
      <c r="X36" s="68"/>
      <c r="Y36" s="191"/>
      <c r="Z36" s="565">
        <f t="shared" si="2"/>
        <v>0</v>
      </c>
      <c r="AA36" s="69"/>
      <c r="AB36" s="70"/>
      <c r="AC36" s="102">
        <f t="shared" si="12"/>
        <v>0</v>
      </c>
      <c r="AE36" s="118" t="s">
        <v>22</v>
      </c>
      <c r="AF36" s="719">
        <f t="shared" si="8"/>
        <v>13</v>
      </c>
      <c r="AG36" s="624"/>
      <c r="AH36" s="565"/>
      <c r="AI36" s="592"/>
      <c r="AJ36" s="565">
        <f t="shared" si="3"/>
        <v>0</v>
      </c>
      <c r="AK36" s="563"/>
      <c r="AL36" s="564"/>
      <c r="AM36" s="596">
        <f t="shared" si="13"/>
        <v>130</v>
      </c>
      <c r="AO36" s="118" t="s">
        <v>22</v>
      </c>
      <c r="AP36" s="219">
        <f t="shared" si="9"/>
        <v>15</v>
      </c>
      <c r="AQ36" s="15"/>
      <c r="AR36" s="68"/>
      <c r="AS36" s="191"/>
      <c r="AT36" s="68">
        <f t="shared" si="4"/>
        <v>0</v>
      </c>
      <c r="AU36" s="69"/>
      <c r="AV36" s="70"/>
      <c r="AW36" s="102">
        <f t="shared" si="14"/>
        <v>150</v>
      </c>
    </row>
    <row r="37" spans="1:49" x14ac:dyDescent="0.25">
      <c r="A37" s="119"/>
      <c r="B37" s="219">
        <f t="shared" si="5"/>
        <v>0</v>
      </c>
      <c r="C37" s="15"/>
      <c r="D37" s="1277"/>
      <c r="E37" s="1298"/>
      <c r="F37" s="1277">
        <f t="shared" si="0"/>
        <v>0</v>
      </c>
      <c r="G37" s="1276"/>
      <c r="H37" s="194"/>
      <c r="I37" s="102">
        <f t="shared" si="10"/>
        <v>0</v>
      </c>
      <c r="K37" s="119"/>
      <c r="L37" s="219">
        <f t="shared" si="6"/>
        <v>0</v>
      </c>
      <c r="M37" s="15"/>
      <c r="N37" s="1061"/>
      <c r="O37" s="1299"/>
      <c r="P37" s="1061">
        <f t="shared" si="1"/>
        <v>0</v>
      </c>
      <c r="Q37" s="1062"/>
      <c r="R37" s="1063"/>
      <c r="S37" s="102">
        <f t="shared" si="11"/>
        <v>0</v>
      </c>
      <c r="U37" s="119"/>
      <c r="V37" s="219">
        <f t="shared" si="7"/>
        <v>0</v>
      </c>
      <c r="W37" s="15"/>
      <c r="X37" s="68"/>
      <c r="Y37" s="191"/>
      <c r="Z37" s="565">
        <f t="shared" si="2"/>
        <v>0</v>
      </c>
      <c r="AA37" s="69"/>
      <c r="AB37" s="70"/>
      <c r="AC37" s="102">
        <f t="shared" si="12"/>
        <v>0</v>
      </c>
      <c r="AE37" s="119"/>
      <c r="AF37" s="719">
        <f t="shared" si="8"/>
        <v>13</v>
      </c>
      <c r="AG37" s="624"/>
      <c r="AH37" s="565"/>
      <c r="AI37" s="592"/>
      <c r="AJ37" s="565">
        <f t="shared" si="3"/>
        <v>0</v>
      </c>
      <c r="AK37" s="563"/>
      <c r="AL37" s="564"/>
      <c r="AM37" s="596">
        <f t="shared" si="13"/>
        <v>130</v>
      </c>
      <c r="AO37" s="119"/>
      <c r="AP37" s="219">
        <f t="shared" si="9"/>
        <v>15</v>
      </c>
      <c r="AQ37" s="15"/>
      <c r="AR37" s="68"/>
      <c r="AS37" s="191"/>
      <c r="AT37" s="68">
        <f t="shared" si="4"/>
        <v>0</v>
      </c>
      <c r="AU37" s="69"/>
      <c r="AV37" s="70"/>
      <c r="AW37" s="102">
        <f t="shared" si="14"/>
        <v>150</v>
      </c>
    </row>
    <row r="38" spans="1:49" x14ac:dyDescent="0.25">
      <c r="A38" s="118"/>
      <c r="B38" s="219">
        <f t="shared" si="5"/>
        <v>0</v>
      </c>
      <c r="C38" s="15"/>
      <c r="D38" s="1277"/>
      <c r="E38" s="1298"/>
      <c r="F38" s="1277">
        <f t="shared" si="0"/>
        <v>0</v>
      </c>
      <c r="G38" s="1276"/>
      <c r="H38" s="194"/>
      <c r="I38" s="102">
        <f t="shared" si="10"/>
        <v>0</v>
      </c>
      <c r="K38" s="118"/>
      <c r="L38" s="219">
        <f t="shared" si="6"/>
        <v>0</v>
      </c>
      <c r="M38" s="15"/>
      <c r="N38" s="482"/>
      <c r="O38" s="1092"/>
      <c r="P38" s="482">
        <f t="shared" si="1"/>
        <v>0</v>
      </c>
      <c r="Q38" s="314"/>
      <c r="R38" s="315"/>
      <c r="S38" s="102">
        <f t="shared" si="11"/>
        <v>0</v>
      </c>
      <c r="U38" s="118"/>
      <c r="V38" s="219">
        <f t="shared" si="7"/>
        <v>0</v>
      </c>
      <c r="W38" s="15"/>
      <c r="X38" s="68"/>
      <c r="Y38" s="191"/>
      <c r="Z38" s="565">
        <f t="shared" si="2"/>
        <v>0</v>
      </c>
      <c r="AA38" s="69"/>
      <c r="AB38" s="70"/>
      <c r="AC38" s="102">
        <f t="shared" si="12"/>
        <v>0</v>
      </c>
      <c r="AE38" s="118"/>
      <c r="AF38" s="719">
        <f t="shared" si="8"/>
        <v>13</v>
      </c>
      <c r="AG38" s="624"/>
      <c r="AH38" s="565"/>
      <c r="AI38" s="592"/>
      <c r="AJ38" s="565">
        <f t="shared" si="3"/>
        <v>0</v>
      </c>
      <c r="AK38" s="563"/>
      <c r="AL38" s="564"/>
      <c r="AM38" s="596">
        <f t="shared" si="13"/>
        <v>130</v>
      </c>
      <c r="AO38" s="118"/>
      <c r="AP38" s="219">
        <f t="shared" si="9"/>
        <v>15</v>
      </c>
      <c r="AQ38" s="15"/>
      <c r="AR38" s="68"/>
      <c r="AS38" s="191"/>
      <c r="AT38" s="68">
        <f t="shared" si="4"/>
        <v>0</v>
      </c>
      <c r="AU38" s="69"/>
      <c r="AV38" s="70"/>
      <c r="AW38" s="102">
        <f t="shared" si="14"/>
        <v>150</v>
      </c>
    </row>
    <row r="39" spans="1:49" x14ac:dyDescent="0.25">
      <c r="A39" s="118"/>
      <c r="B39" s="82">
        <f t="shared" si="5"/>
        <v>0</v>
      </c>
      <c r="C39" s="15"/>
      <c r="D39" s="1277"/>
      <c r="E39" s="1298"/>
      <c r="F39" s="1277">
        <f t="shared" si="0"/>
        <v>0</v>
      </c>
      <c r="G39" s="1276"/>
      <c r="H39" s="194"/>
      <c r="I39" s="102">
        <f t="shared" si="10"/>
        <v>0</v>
      </c>
      <c r="K39" s="118"/>
      <c r="L39" s="82">
        <f t="shared" si="6"/>
        <v>0</v>
      </c>
      <c r="M39" s="15"/>
      <c r="N39" s="482"/>
      <c r="O39" s="1092"/>
      <c r="P39" s="482">
        <f t="shared" si="1"/>
        <v>0</v>
      </c>
      <c r="Q39" s="314"/>
      <c r="R39" s="315"/>
      <c r="S39" s="102">
        <f t="shared" si="11"/>
        <v>0</v>
      </c>
      <c r="U39" s="118"/>
      <c r="V39" s="82">
        <f t="shared" si="7"/>
        <v>0</v>
      </c>
      <c r="W39" s="15"/>
      <c r="X39" s="68"/>
      <c r="Y39" s="191"/>
      <c r="Z39" s="565">
        <f t="shared" si="2"/>
        <v>0</v>
      </c>
      <c r="AA39" s="69"/>
      <c r="AB39" s="70"/>
      <c r="AC39" s="102">
        <f t="shared" si="12"/>
        <v>0</v>
      </c>
      <c r="AE39" s="118"/>
      <c r="AF39" s="82">
        <f t="shared" si="8"/>
        <v>13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3"/>
        <v>130</v>
      </c>
      <c r="AO39" s="118"/>
      <c r="AP39" s="82">
        <f t="shared" si="9"/>
        <v>15</v>
      </c>
      <c r="AQ39" s="15"/>
      <c r="AR39" s="68"/>
      <c r="AS39" s="191"/>
      <c r="AT39" s="68">
        <f t="shared" si="4"/>
        <v>0</v>
      </c>
      <c r="AU39" s="69"/>
      <c r="AV39" s="70"/>
      <c r="AW39" s="102">
        <f t="shared" si="14"/>
        <v>150</v>
      </c>
    </row>
    <row r="40" spans="1:49" x14ac:dyDescent="0.25">
      <c r="A40" s="118"/>
      <c r="B40" s="82">
        <f t="shared" si="5"/>
        <v>0</v>
      </c>
      <c r="C40" s="15"/>
      <c r="D40" s="1277"/>
      <c r="E40" s="1298"/>
      <c r="F40" s="1277">
        <f t="shared" si="0"/>
        <v>0</v>
      </c>
      <c r="G40" s="1276"/>
      <c r="H40" s="194"/>
      <c r="I40" s="102">
        <f t="shared" si="10"/>
        <v>0</v>
      </c>
      <c r="K40" s="118"/>
      <c r="L40" s="82">
        <f t="shared" si="6"/>
        <v>0</v>
      </c>
      <c r="M40" s="15"/>
      <c r="N40" s="482"/>
      <c r="O40" s="1092"/>
      <c r="P40" s="482">
        <f t="shared" si="1"/>
        <v>0</v>
      </c>
      <c r="Q40" s="314"/>
      <c r="R40" s="315"/>
      <c r="S40" s="102">
        <f t="shared" si="11"/>
        <v>0</v>
      </c>
      <c r="U40" s="118"/>
      <c r="V40" s="82">
        <f t="shared" si="7"/>
        <v>0</v>
      </c>
      <c r="W40" s="15"/>
      <c r="X40" s="68"/>
      <c r="Y40" s="191"/>
      <c r="Z40" s="565">
        <f t="shared" si="2"/>
        <v>0</v>
      </c>
      <c r="AA40" s="69"/>
      <c r="AB40" s="70"/>
      <c r="AC40" s="102">
        <f t="shared" si="12"/>
        <v>0</v>
      </c>
      <c r="AE40" s="118"/>
      <c r="AF40" s="82">
        <f t="shared" si="8"/>
        <v>13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3"/>
        <v>130</v>
      </c>
      <c r="AO40" s="118"/>
      <c r="AP40" s="82">
        <f t="shared" si="9"/>
        <v>15</v>
      </c>
      <c r="AQ40" s="15"/>
      <c r="AR40" s="68"/>
      <c r="AS40" s="191"/>
      <c r="AT40" s="68">
        <f t="shared" si="4"/>
        <v>0</v>
      </c>
      <c r="AU40" s="69"/>
      <c r="AV40" s="70"/>
      <c r="AW40" s="102">
        <f t="shared" si="14"/>
        <v>150</v>
      </c>
    </row>
    <row r="41" spans="1:49" x14ac:dyDescent="0.25">
      <c r="A41" s="118"/>
      <c r="B41" s="82">
        <f t="shared" si="5"/>
        <v>0</v>
      </c>
      <c r="C41" s="15"/>
      <c r="D41" s="1277"/>
      <c r="E41" s="1298"/>
      <c r="F41" s="1277">
        <f t="shared" si="0"/>
        <v>0</v>
      </c>
      <c r="G41" s="1276"/>
      <c r="H41" s="194"/>
      <c r="I41" s="102">
        <f t="shared" si="10"/>
        <v>0</v>
      </c>
      <c r="K41" s="118"/>
      <c r="L41" s="82">
        <f t="shared" si="6"/>
        <v>0</v>
      </c>
      <c r="M41" s="15"/>
      <c r="N41" s="482"/>
      <c r="O41" s="1092"/>
      <c r="P41" s="482">
        <f t="shared" si="1"/>
        <v>0</v>
      </c>
      <c r="Q41" s="314"/>
      <c r="R41" s="315"/>
      <c r="S41" s="102">
        <f t="shared" si="11"/>
        <v>0</v>
      </c>
      <c r="U41" s="118"/>
      <c r="V41" s="82">
        <f t="shared" si="7"/>
        <v>0</v>
      </c>
      <c r="W41" s="15"/>
      <c r="X41" s="68"/>
      <c r="Y41" s="191"/>
      <c r="Z41" s="565">
        <f t="shared" si="2"/>
        <v>0</v>
      </c>
      <c r="AA41" s="69"/>
      <c r="AB41" s="70"/>
      <c r="AC41" s="102">
        <f t="shared" si="12"/>
        <v>0</v>
      </c>
      <c r="AE41" s="118"/>
      <c r="AF41" s="82">
        <f t="shared" si="8"/>
        <v>13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3"/>
        <v>130</v>
      </c>
      <c r="AO41" s="118"/>
      <c r="AP41" s="82">
        <f t="shared" si="9"/>
        <v>15</v>
      </c>
      <c r="AQ41" s="15"/>
      <c r="AR41" s="68"/>
      <c r="AS41" s="191"/>
      <c r="AT41" s="68">
        <f t="shared" si="4"/>
        <v>0</v>
      </c>
      <c r="AU41" s="69"/>
      <c r="AV41" s="70"/>
      <c r="AW41" s="102">
        <f t="shared" si="14"/>
        <v>150</v>
      </c>
    </row>
    <row r="42" spans="1:49" x14ac:dyDescent="0.25">
      <c r="A42" s="118"/>
      <c r="B42" s="82">
        <f t="shared" si="5"/>
        <v>0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10"/>
        <v>0</v>
      </c>
      <c r="K42" s="118"/>
      <c r="L42" s="82">
        <f t="shared" si="6"/>
        <v>0</v>
      </c>
      <c r="M42" s="15"/>
      <c r="N42" s="482"/>
      <c r="O42" s="1092"/>
      <c r="P42" s="482">
        <f t="shared" si="1"/>
        <v>0</v>
      </c>
      <c r="Q42" s="314"/>
      <c r="R42" s="315"/>
      <c r="S42" s="102">
        <f t="shared" si="11"/>
        <v>0</v>
      </c>
      <c r="U42" s="118"/>
      <c r="V42" s="82">
        <f t="shared" si="7"/>
        <v>0</v>
      </c>
      <c r="W42" s="15"/>
      <c r="X42" s="68"/>
      <c r="Y42" s="191"/>
      <c r="Z42" s="565">
        <f t="shared" si="2"/>
        <v>0</v>
      </c>
      <c r="AA42" s="69"/>
      <c r="AB42" s="70"/>
      <c r="AC42" s="102">
        <f t="shared" si="12"/>
        <v>0</v>
      </c>
      <c r="AE42" s="118"/>
      <c r="AF42" s="82">
        <f t="shared" si="8"/>
        <v>13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3"/>
        <v>130</v>
      </c>
      <c r="AO42" s="118"/>
      <c r="AP42" s="82">
        <f t="shared" si="9"/>
        <v>15</v>
      </c>
      <c r="AQ42" s="15"/>
      <c r="AR42" s="68"/>
      <c r="AS42" s="191"/>
      <c r="AT42" s="68">
        <f t="shared" si="4"/>
        <v>0</v>
      </c>
      <c r="AU42" s="69"/>
      <c r="AV42" s="70"/>
      <c r="AW42" s="102">
        <f t="shared" si="14"/>
        <v>150</v>
      </c>
    </row>
    <row r="43" spans="1:49" x14ac:dyDescent="0.25">
      <c r="A43" s="118"/>
      <c r="B43" s="82">
        <f t="shared" si="5"/>
        <v>0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10"/>
        <v>0</v>
      </c>
      <c r="K43" s="118"/>
      <c r="L43" s="82">
        <f t="shared" si="6"/>
        <v>0</v>
      </c>
      <c r="M43" s="15"/>
      <c r="N43" s="482"/>
      <c r="O43" s="1092"/>
      <c r="P43" s="482">
        <f t="shared" si="1"/>
        <v>0</v>
      </c>
      <c r="Q43" s="314"/>
      <c r="R43" s="315"/>
      <c r="S43" s="102">
        <f t="shared" si="11"/>
        <v>0</v>
      </c>
      <c r="U43" s="118"/>
      <c r="V43" s="82">
        <f t="shared" si="7"/>
        <v>0</v>
      </c>
      <c r="W43" s="15"/>
      <c r="X43" s="68"/>
      <c r="Y43" s="191"/>
      <c r="Z43" s="565">
        <f t="shared" si="2"/>
        <v>0</v>
      </c>
      <c r="AA43" s="69"/>
      <c r="AB43" s="70"/>
      <c r="AC43" s="102">
        <f t="shared" si="12"/>
        <v>0</v>
      </c>
      <c r="AE43" s="118"/>
      <c r="AF43" s="82">
        <f t="shared" si="8"/>
        <v>13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3"/>
        <v>130</v>
      </c>
      <c r="AO43" s="118"/>
      <c r="AP43" s="82">
        <f t="shared" si="9"/>
        <v>15</v>
      </c>
      <c r="AQ43" s="15"/>
      <c r="AR43" s="68"/>
      <c r="AS43" s="191"/>
      <c r="AT43" s="68">
        <f t="shared" si="4"/>
        <v>0</v>
      </c>
      <c r="AU43" s="69"/>
      <c r="AV43" s="70"/>
      <c r="AW43" s="102">
        <f t="shared" si="14"/>
        <v>150</v>
      </c>
    </row>
    <row r="44" spans="1:49" x14ac:dyDescent="0.25">
      <c r="A44" s="118"/>
      <c r="B44" s="82">
        <f t="shared" si="5"/>
        <v>0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10"/>
        <v>0</v>
      </c>
      <c r="K44" s="118"/>
      <c r="L44" s="82">
        <f t="shared" si="6"/>
        <v>0</v>
      </c>
      <c r="M44" s="15"/>
      <c r="N44" s="482"/>
      <c r="O44" s="1092"/>
      <c r="P44" s="482">
        <f t="shared" si="1"/>
        <v>0</v>
      </c>
      <c r="Q44" s="314"/>
      <c r="R44" s="315"/>
      <c r="S44" s="102">
        <f t="shared" si="11"/>
        <v>0</v>
      </c>
      <c r="U44" s="118"/>
      <c r="V44" s="82">
        <f t="shared" si="7"/>
        <v>0</v>
      </c>
      <c r="W44" s="15"/>
      <c r="X44" s="68"/>
      <c r="Y44" s="191"/>
      <c r="Z44" s="565">
        <f t="shared" si="2"/>
        <v>0</v>
      </c>
      <c r="AA44" s="69"/>
      <c r="AB44" s="70"/>
      <c r="AC44" s="102">
        <f t="shared" si="12"/>
        <v>0</v>
      </c>
      <c r="AE44" s="118"/>
      <c r="AF44" s="82">
        <f t="shared" si="8"/>
        <v>13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3"/>
        <v>130</v>
      </c>
      <c r="AO44" s="118"/>
      <c r="AP44" s="82">
        <f t="shared" si="9"/>
        <v>15</v>
      </c>
      <c r="AQ44" s="15"/>
      <c r="AR44" s="68"/>
      <c r="AS44" s="191"/>
      <c r="AT44" s="68">
        <f t="shared" si="4"/>
        <v>0</v>
      </c>
      <c r="AU44" s="69"/>
      <c r="AV44" s="70"/>
      <c r="AW44" s="102">
        <f t="shared" si="14"/>
        <v>150</v>
      </c>
    </row>
    <row r="45" spans="1:49" x14ac:dyDescent="0.25">
      <c r="A45" s="118"/>
      <c r="B45" s="82">
        <f t="shared" si="5"/>
        <v>0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10"/>
        <v>0</v>
      </c>
      <c r="K45" s="118"/>
      <c r="L45" s="82">
        <f t="shared" si="6"/>
        <v>0</v>
      </c>
      <c r="M45" s="15"/>
      <c r="N45" s="482"/>
      <c r="O45" s="1092"/>
      <c r="P45" s="482">
        <f t="shared" si="1"/>
        <v>0</v>
      </c>
      <c r="Q45" s="314"/>
      <c r="R45" s="315"/>
      <c r="S45" s="102">
        <f t="shared" si="11"/>
        <v>0</v>
      </c>
      <c r="U45" s="118"/>
      <c r="V45" s="82">
        <f t="shared" si="7"/>
        <v>0</v>
      </c>
      <c r="W45" s="15"/>
      <c r="X45" s="68"/>
      <c r="Y45" s="191"/>
      <c r="Z45" s="565">
        <f t="shared" si="2"/>
        <v>0</v>
      </c>
      <c r="AA45" s="69"/>
      <c r="AB45" s="70"/>
      <c r="AC45" s="102">
        <f t="shared" si="12"/>
        <v>0</v>
      </c>
      <c r="AE45" s="118"/>
      <c r="AF45" s="82">
        <f t="shared" si="8"/>
        <v>13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3"/>
        <v>130</v>
      </c>
      <c r="AO45" s="118"/>
      <c r="AP45" s="82">
        <f t="shared" si="9"/>
        <v>15</v>
      </c>
      <c r="AQ45" s="15"/>
      <c r="AR45" s="68"/>
      <c r="AS45" s="191"/>
      <c r="AT45" s="68">
        <f t="shared" si="4"/>
        <v>0</v>
      </c>
      <c r="AU45" s="69"/>
      <c r="AV45" s="70"/>
      <c r="AW45" s="102">
        <f t="shared" si="14"/>
        <v>150</v>
      </c>
    </row>
    <row r="46" spans="1:49" x14ac:dyDescent="0.25">
      <c r="A46" s="118"/>
      <c r="B46" s="82">
        <f t="shared" si="5"/>
        <v>0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10"/>
        <v>0</v>
      </c>
      <c r="K46" s="118"/>
      <c r="L46" s="82">
        <f t="shared" si="6"/>
        <v>0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11"/>
        <v>0</v>
      </c>
      <c r="U46" s="118"/>
      <c r="V46" s="82">
        <f t="shared" si="7"/>
        <v>0</v>
      </c>
      <c r="W46" s="15"/>
      <c r="X46" s="68"/>
      <c r="Y46" s="191"/>
      <c r="Z46" s="565">
        <f t="shared" si="2"/>
        <v>0</v>
      </c>
      <c r="AA46" s="69"/>
      <c r="AB46" s="70"/>
      <c r="AC46" s="102">
        <f t="shared" si="12"/>
        <v>0</v>
      </c>
      <c r="AE46" s="118"/>
      <c r="AF46" s="82">
        <f t="shared" si="8"/>
        <v>13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3"/>
        <v>130</v>
      </c>
      <c r="AO46" s="118"/>
      <c r="AP46" s="82">
        <f t="shared" si="9"/>
        <v>15</v>
      </c>
      <c r="AQ46" s="15"/>
      <c r="AR46" s="68"/>
      <c r="AS46" s="191"/>
      <c r="AT46" s="68">
        <f t="shared" si="4"/>
        <v>0</v>
      </c>
      <c r="AU46" s="69"/>
      <c r="AV46" s="70"/>
      <c r="AW46" s="102">
        <f t="shared" si="14"/>
        <v>150</v>
      </c>
    </row>
    <row r="47" spans="1:49" x14ac:dyDescent="0.25">
      <c r="A47" s="118"/>
      <c r="B47" s="82">
        <f t="shared" si="5"/>
        <v>0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10"/>
        <v>0</v>
      </c>
      <c r="K47" s="118"/>
      <c r="L47" s="82">
        <f t="shared" si="6"/>
        <v>0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11"/>
        <v>0</v>
      </c>
      <c r="U47" s="118"/>
      <c r="V47" s="82">
        <f t="shared" si="7"/>
        <v>0</v>
      </c>
      <c r="W47" s="15"/>
      <c r="X47" s="68"/>
      <c r="Y47" s="191"/>
      <c r="Z47" s="565">
        <f t="shared" si="2"/>
        <v>0</v>
      </c>
      <c r="AA47" s="69"/>
      <c r="AB47" s="70"/>
      <c r="AC47" s="102">
        <f t="shared" si="12"/>
        <v>0</v>
      </c>
      <c r="AE47" s="118"/>
      <c r="AF47" s="82">
        <f t="shared" si="8"/>
        <v>13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3"/>
        <v>130</v>
      </c>
      <c r="AO47" s="118"/>
      <c r="AP47" s="82">
        <f t="shared" si="9"/>
        <v>15</v>
      </c>
      <c r="AQ47" s="15"/>
      <c r="AR47" s="68"/>
      <c r="AS47" s="191"/>
      <c r="AT47" s="68">
        <f t="shared" si="4"/>
        <v>0</v>
      </c>
      <c r="AU47" s="69"/>
      <c r="AV47" s="70"/>
      <c r="AW47" s="102">
        <f t="shared" si="14"/>
        <v>150</v>
      </c>
    </row>
    <row r="48" spans="1:49" x14ac:dyDescent="0.25">
      <c r="A48" s="118"/>
      <c r="B48" s="82">
        <f t="shared" si="5"/>
        <v>0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10"/>
        <v>0</v>
      </c>
      <c r="K48" s="118"/>
      <c r="L48" s="82">
        <f t="shared" si="6"/>
        <v>0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11"/>
        <v>0</v>
      </c>
      <c r="U48" s="118"/>
      <c r="V48" s="82">
        <f t="shared" si="7"/>
        <v>0</v>
      </c>
      <c r="W48" s="15"/>
      <c r="X48" s="68"/>
      <c r="Y48" s="191"/>
      <c r="Z48" s="565">
        <f t="shared" si="2"/>
        <v>0</v>
      </c>
      <c r="AA48" s="69"/>
      <c r="AB48" s="70"/>
      <c r="AC48" s="102">
        <f t="shared" si="12"/>
        <v>0</v>
      </c>
      <c r="AE48" s="118"/>
      <c r="AF48" s="82">
        <f t="shared" si="8"/>
        <v>13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3"/>
        <v>130</v>
      </c>
      <c r="AO48" s="118"/>
      <c r="AP48" s="82">
        <f t="shared" si="9"/>
        <v>15</v>
      </c>
      <c r="AQ48" s="15"/>
      <c r="AR48" s="68"/>
      <c r="AS48" s="191"/>
      <c r="AT48" s="68">
        <f t="shared" si="4"/>
        <v>0</v>
      </c>
      <c r="AU48" s="69"/>
      <c r="AV48" s="70"/>
      <c r="AW48" s="102">
        <f t="shared" si="14"/>
        <v>150</v>
      </c>
    </row>
    <row r="49" spans="1:49" x14ac:dyDescent="0.25">
      <c r="A49" s="118"/>
      <c r="B49" s="82">
        <f t="shared" si="5"/>
        <v>0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10"/>
        <v>0</v>
      </c>
      <c r="K49" s="118"/>
      <c r="L49" s="82">
        <f t="shared" si="6"/>
        <v>0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11"/>
        <v>0</v>
      </c>
      <c r="U49" s="118"/>
      <c r="V49" s="82">
        <f t="shared" si="7"/>
        <v>0</v>
      </c>
      <c r="W49" s="15"/>
      <c r="X49" s="68"/>
      <c r="Y49" s="191"/>
      <c r="Z49" s="565">
        <f t="shared" si="2"/>
        <v>0</v>
      </c>
      <c r="AA49" s="69"/>
      <c r="AB49" s="70"/>
      <c r="AC49" s="102">
        <f t="shared" si="12"/>
        <v>0</v>
      </c>
      <c r="AE49" s="118"/>
      <c r="AF49" s="82">
        <f t="shared" si="8"/>
        <v>13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3"/>
        <v>130</v>
      </c>
      <c r="AO49" s="118"/>
      <c r="AP49" s="82">
        <f t="shared" si="9"/>
        <v>15</v>
      </c>
      <c r="AQ49" s="15"/>
      <c r="AR49" s="68"/>
      <c r="AS49" s="191"/>
      <c r="AT49" s="68">
        <f t="shared" si="4"/>
        <v>0</v>
      </c>
      <c r="AU49" s="69"/>
      <c r="AV49" s="70"/>
      <c r="AW49" s="102">
        <f t="shared" si="14"/>
        <v>150</v>
      </c>
    </row>
    <row r="50" spans="1:49" x14ac:dyDescent="0.25">
      <c r="A50" s="118"/>
      <c r="B50" s="82">
        <f t="shared" si="5"/>
        <v>0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10"/>
        <v>0</v>
      </c>
      <c r="K50" s="118"/>
      <c r="L50" s="82">
        <f t="shared" si="6"/>
        <v>0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11"/>
        <v>0</v>
      </c>
      <c r="U50" s="118"/>
      <c r="V50" s="82">
        <f t="shared" si="7"/>
        <v>0</v>
      </c>
      <c r="W50" s="15"/>
      <c r="X50" s="68"/>
      <c r="Y50" s="191"/>
      <c r="Z50" s="565">
        <f t="shared" si="2"/>
        <v>0</v>
      </c>
      <c r="AA50" s="69"/>
      <c r="AB50" s="70"/>
      <c r="AC50" s="102">
        <f t="shared" si="12"/>
        <v>0</v>
      </c>
      <c r="AE50" s="118"/>
      <c r="AF50" s="82">
        <f t="shared" si="8"/>
        <v>13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3"/>
        <v>130</v>
      </c>
      <c r="AO50" s="118"/>
      <c r="AP50" s="82">
        <f t="shared" si="9"/>
        <v>15</v>
      </c>
      <c r="AQ50" s="15"/>
      <c r="AR50" s="68"/>
      <c r="AS50" s="191"/>
      <c r="AT50" s="68">
        <f t="shared" si="4"/>
        <v>0</v>
      </c>
      <c r="AU50" s="69"/>
      <c r="AV50" s="70"/>
      <c r="AW50" s="102">
        <f t="shared" si="14"/>
        <v>150</v>
      </c>
    </row>
    <row r="51" spans="1:49" x14ac:dyDescent="0.25">
      <c r="A51" s="118"/>
      <c r="B51" s="82">
        <f t="shared" si="5"/>
        <v>0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10"/>
        <v>0</v>
      </c>
      <c r="K51" s="118"/>
      <c r="L51" s="82">
        <f t="shared" si="6"/>
        <v>0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11"/>
        <v>0</v>
      </c>
      <c r="U51" s="118"/>
      <c r="V51" s="82">
        <f t="shared" si="7"/>
        <v>0</v>
      </c>
      <c r="W51" s="15"/>
      <c r="X51" s="68"/>
      <c r="Y51" s="191"/>
      <c r="Z51" s="565">
        <f t="shared" si="2"/>
        <v>0</v>
      </c>
      <c r="AA51" s="69"/>
      <c r="AB51" s="70"/>
      <c r="AC51" s="102">
        <f t="shared" si="12"/>
        <v>0</v>
      </c>
      <c r="AE51" s="118"/>
      <c r="AF51" s="82">
        <f t="shared" si="8"/>
        <v>13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3"/>
        <v>130</v>
      </c>
      <c r="AO51" s="118"/>
      <c r="AP51" s="82">
        <f t="shared" si="9"/>
        <v>15</v>
      </c>
      <c r="AQ51" s="15"/>
      <c r="AR51" s="68"/>
      <c r="AS51" s="191"/>
      <c r="AT51" s="68">
        <f t="shared" si="4"/>
        <v>0</v>
      </c>
      <c r="AU51" s="69"/>
      <c r="AV51" s="70"/>
      <c r="AW51" s="102">
        <f t="shared" si="14"/>
        <v>150</v>
      </c>
    </row>
    <row r="52" spans="1:49" x14ac:dyDescent="0.25">
      <c r="A52" s="118"/>
      <c r="B52" s="82">
        <f t="shared" si="5"/>
        <v>0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10"/>
        <v>0</v>
      </c>
      <c r="K52" s="118"/>
      <c r="L52" s="82">
        <f t="shared" si="6"/>
        <v>0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11"/>
        <v>0</v>
      </c>
      <c r="U52" s="118"/>
      <c r="V52" s="82">
        <f t="shared" si="7"/>
        <v>0</v>
      </c>
      <c r="W52" s="15"/>
      <c r="X52" s="68"/>
      <c r="Y52" s="191"/>
      <c r="Z52" s="565">
        <f t="shared" si="2"/>
        <v>0</v>
      </c>
      <c r="AA52" s="69"/>
      <c r="AB52" s="70"/>
      <c r="AC52" s="102">
        <f t="shared" si="12"/>
        <v>0</v>
      </c>
      <c r="AE52" s="118"/>
      <c r="AF52" s="82">
        <f t="shared" si="8"/>
        <v>13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3"/>
        <v>130</v>
      </c>
      <c r="AO52" s="118"/>
      <c r="AP52" s="82">
        <f t="shared" si="9"/>
        <v>15</v>
      </c>
      <c r="AQ52" s="15"/>
      <c r="AR52" s="68"/>
      <c r="AS52" s="191"/>
      <c r="AT52" s="68">
        <f t="shared" si="4"/>
        <v>0</v>
      </c>
      <c r="AU52" s="69"/>
      <c r="AV52" s="70"/>
      <c r="AW52" s="102">
        <f t="shared" si="14"/>
        <v>150</v>
      </c>
    </row>
    <row r="53" spans="1:49" x14ac:dyDescent="0.25">
      <c r="A53" s="118"/>
      <c r="B53" s="82">
        <f t="shared" si="5"/>
        <v>0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10"/>
        <v>0</v>
      </c>
      <c r="K53" s="118"/>
      <c r="L53" s="82">
        <f t="shared" si="6"/>
        <v>0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11"/>
        <v>0</v>
      </c>
      <c r="U53" s="118"/>
      <c r="V53" s="82">
        <f t="shared" si="7"/>
        <v>0</v>
      </c>
      <c r="W53" s="15"/>
      <c r="X53" s="68"/>
      <c r="Y53" s="191"/>
      <c r="Z53" s="565">
        <f t="shared" si="2"/>
        <v>0</v>
      </c>
      <c r="AA53" s="69"/>
      <c r="AB53" s="70"/>
      <c r="AC53" s="102">
        <f t="shared" si="12"/>
        <v>0</v>
      </c>
      <c r="AE53" s="118"/>
      <c r="AF53" s="82">
        <f t="shared" si="8"/>
        <v>13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3"/>
        <v>130</v>
      </c>
      <c r="AO53" s="118"/>
      <c r="AP53" s="82">
        <f t="shared" si="9"/>
        <v>15</v>
      </c>
      <c r="AQ53" s="15"/>
      <c r="AR53" s="68"/>
      <c r="AS53" s="191"/>
      <c r="AT53" s="68">
        <f t="shared" si="4"/>
        <v>0</v>
      </c>
      <c r="AU53" s="69"/>
      <c r="AV53" s="70"/>
      <c r="AW53" s="102">
        <f t="shared" si="14"/>
        <v>150</v>
      </c>
    </row>
    <row r="54" spans="1:49" x14ac:dyDescent="0.25">
      <c r="A54" s="118"/>
      <c r="B54" s="82">
        <f t="shared" si="5"/>
        <v>0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10"/>
        <v>0</v>
      </c>
      <c r="K54" s="118"/>
      <c r="L54" s="82">
        <f t="shared" si="6"/>
        <v>0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11"/>
        <v>0</v>
      </c>
      <c r="U54" s="118"/>
      <c r="V54" s="82">
        <f t="shared" si="7"/>
        <v>0</v>
      </c>
      <c r="W54" s="15"/>
      <c r="X54" s="68"/>
      <c r="Y54" s="191"/>
      <c r="Z54" s="565">
        <f t="shared" si="2"/>
        <v>0</v>
      </c>
      <c r="AA54" s="69"/>
      <c r="AB54" s="70"/>
      <c r="AC54" s="102">
        <f t="shared" si="12"/>
        <v>0</v>
      </c>
      <c r="AE54" s="118"/>
      <c r="AF54" s="82">
        <f t="shared" si="8"/>
        <v>13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3"/>
        <v>130</v>
      </c>
      <c r="AO54" s="118"/>
      <c r="AP54" s="82">
        <f t="shared" si="9"/>
        <v>15</v>
      </c>
      <c r="AQ54" s="15"/>
      <c r="AR54" s="68"/>
      <c r="AS54" s="191"/>
      <c r="AT54" s="68">
        <f t="shared" si="4"/>
        <v>0</v>
      </c>
      <c r="AU54" s="69"/>
      <c r="AV54" s="70"/>
      <c r="AW54" s="102">
        <f t="shared" si="14"/>
        <v>150</v>
      </c>
    </row>
    <row r="55" spans="1:49" x14ac:dyDescent="0.25">
      <c r="A55" s="118"/>
      <c r="B55" s="12">
        <f t="shared" si="5"/>
        <v>0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10"/>
        <v>0</v>
      </c>
      <c r="K55" s="118"/>
      <c r="L55" s="12">
        <f t="shared" si="6"/>
        <v>0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11"/>
        <v>0</v>
      </c>
      <c r="U55" s="118"/>
      <c r="V55" s="12">
        <f t="shared" si="7"/>
        <v>0</v>
      </c>
      <c r="W55" s="15"/>
      <c r="X55" s="68"/>
      <c r="Y55" s="191"/>
      <c r="Z55" s="565">
        <f t="shared" si="2"/>
        <v>0</v>
      </c>
      <c r="AA55" s="69"/>
      <c r="AB55" s="70"/>
      <c r="AC55" s="102">
        <f t="shared" si="12"/>
        <v>0</v>
      </c>
      <c r="AE55" s="118"/>
      <c r="AF55" s="12">
        <f t="shared" si="8"/>
        <v>13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3"/>
        <v>130</v>
      </c>
      <c r="AO55" s="118"/>
      <c r="AP55" s="12">
        <f t="shared" si="9"/>
        <v>15</v>
      </c>
      <c r="AQ55" s="15"/>
      <c r="AR55" s="68"/>
      <c r="AS55" s="191"/>
      <c r="AT55" s="68">
        <f t="shared" si="4"/>
        <v>0</v>
      </c>
      <c r="AU55" s="69"/>
      <c r="AV55" s="70"/>
      <c r="AW55" s="102">
        <f t="shared" si="14"/>
        <v>150</v>
      </c>
    </row>
    <row r="56" spans="1:49" x14ac:dyDescent="0.25">
      <c r="A56" s="118"/>
      <c r="B56" s="12">
        <f t="shared" si="5"/>
        <v>0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10"/>
        <v>0</v>
      </c>
      <c r="K56" s="118"/>
      <c r="L56" s="12">
        <f t="shared" si="6"/>
        <v>0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11"/>
        <v>0</v>
      </c>
      <c r="U56" s="118"/>
      <c r="V56" s="12">
        <f t="shared" si="7"/>
        <v>0</v>
      </c>
      <c r="W56" s="15"/>
      <c r="X56" s="68"/>
      <c r="Y56" s="191"/>
      <c r="Z56" s="565">
        <f t="shared" si="2"/>
        <v>0</v>
      </c>
      <c r="AA56" s="69"/>
      <c r="AB56" s="70"/>
      <c r="AC56" s="102">
        <f t="shared" si="12"/>
        <v>0</v>
      </c>
      <c r="AE56" s="118"/>
      <c r="AF56" s="12">
        <f t="shared" si="8"/>
        <v>13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3"/>
        <v>130</v>
      </c>
      <c r="AO56" s="118"/>
      <c r="AP56" s="12">
        <f t="shared" si="9"/>
        <v>15</v>
      </c>
      <c r="AQ56" s="15"/>
      <c r="AR56" s="68"/>
      <c r="AS56" s="191"/>
      <c r="AT56" s="68">
        <f t="shared" si="4"/>
        <v>0</v>
      </c>
      <c r="AU56" s="69"/>
      <c r="AV56" s="70"/>
      <c r="AW56" s="102">
        <f t="shared" si="14"/>
        <v>150</v>
      </c>
    </row>
    <row r="57" spans="1:49" x14ac:dyDescent="0.25">
      <c r="A57" s="118"/>
      <c r="B57" s="12">
        <f t="shared" si="5"/>
        <v>0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10"/>
        <v>0</v>
      </c>
      <c r="K57" s="118"/>
      <c r="L57" s="12">
        <f t="shared" si="6"/>
        <v>0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11"/>
        <v>0</v>
      </c>
      <c r="U57" s="118"/>
      <c r="V57" s="12">
        <f t="shared" si="7"/>
        <v>0</v>
      </c>
      <c r="W57" s="15"/>
      <c r="X57" s="68"/>
      <c r="Y57" s="191"/>
      <c r="Z57" s="565">
        <f t="shared" si="2"/>
        <v>0</v>
      </c>
      <c r="AA57" s="69"/>
      <c r="AB57" s="70"/>
      <c r="AC57" s="102">
        <f t="shared" si="12"/>
        <v>0</v>
      </c>
      <c r="AE57" s="118"/>
      <c r="AF57" s="12">
        <f t="shared" si="8"/>
        <v>13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3"/>
        <v>130</v>
      </c>
      <c r="AO57" s="118"/>
      <c r="AP57" s="12">
        <f t="shared" si="9"/>
        <v>15</v>
      </c>
      <c r="AQ57" s="15"/>
      <c r="AR57" s="68"/>
      <c r="AS57" s="191"/>
      <c r="AT57" s="68">
        <f t="shared" si="4"/>
        <v>0</v>
      </c>
      <c r="AU57" s="69"/>
      <c r="AV57" s="70"/>
      <c r="AW57" s="102">
        <f t="shared" si="14"/>
        <v>150</v>
      </c>
    </row>
    <row r="58" spans="1:49" x14ac:dyDescent="0.25">
      <c r="A58" s="118"/>
      <c r="B58" s="12">
        <f t="shared" si="5"/>
        <v>0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10"/>
        <v>0</v>
      </c>
      <c r="K58" s="118"/>
      <c r="L58" s="12">
        <f t="shared" si="6"/>
        <v>0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11"/>
        <v>0</v>
      </c>
      <c r="U58" s="118"/>
      <c r="V58" s="12">
        <f t="shared" si="7"/>
        <v>0</v>
      </c>
      <c r="W58" s="15"/>
      <c r="X58" s="68"/>
      <c r="Y58" s="191"/>
      <c r="Z58" s="565">
        <f t="shared" si="2"/>
        <v>0</v>
      </c>
      <c r="AA58" s="69"/>
      <c r="AB58" s="70"/>
      <c r="AC58" s="102">
        <f t="shared" si="12"/>
        <v>0</v>
      </c>
      <c r="AE58" s="118"/>
      <c r="AF58" s="12">
        <f t="shared" si="8"/>
        <v>13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3"/>
        <v>130</v>
      </c>
      <c r="AO58" s="118"/>
      <c r="AP58" s="12">
        <f t="shared" si="9"/>
        <v>15</v>
      </c>
      <c r="AQ58" s="15"/>
      <c r="AR58" s="68"/>
      <c r="AS58" s="191"/>
      <c r="AT58" s="68">
        <f t="shared" si="4"/>
        <v>0</v>
      </c>
      <c r="AU58" s="69"/>
      <c r="AV58" s="70"/>
      <c r="AW58" s="102">
        <f t="shared" si="14"/>
        <v>150</v>
      </c>
    </row>
    <row r="59" spans="1:49" x14ac:dyDescent="0.25">
      <c r="A59" s="118"/>
      <c r="B59" s="12">
        <f t="shared" si="5"/>
        <v>0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10"/>
        <v>0</v>
      </c>
      <c r="K59" s="118"/>
      <c r="L59" s="12">
        <f t="shared" si="6"/>
        <v>0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11"/>
        <v>0</v>
      </c>
      <c r="U59" s="118"/>
      <c r="V59" s="12">
        <f t="shared" si="7"/>
        <v>0</v>
      </c>
      <c r="W59" s="15"/>
      <c r="X59" s="68"/>
      <c r="Y59" s="191"/>
      <c r="Z59" s="565">
        <f t="shared" si="2"/>
        <v>0</v>
      </c>
      <c r="AA59" s="69"/>
      <c r="AB59" s="70"/>
      <c r="AC59" s="102">
        <f t="shared" si="12"/>
        <v>0</v>
      </c>
      <c r="AE59" s="118"/>
      <c r="AF59" s="12">
        <f t="shared" si="8"/>
        <v>13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3"/>
        <v>130</v>
      </c>
      <c r="AO59" s="118"/>
      <c r="AP59" s="12">
        <f t="shared" si="9"/>
        <v>15</v>
      </c>
      <c r="AQ59" s="15"/>
      <c r="AR59" s="68"/>
      <c r="AS59" s="191"/>
      <c r="AT59" s="68">
        <f t="shared" si="4"/>
        <v>0</v>
      </c>
      <c r="AU59" s="69"/>
      <c r="AV59" s="70"/>
      <c r="AW59" s="102">
        <f t="shared" si="14"/>
        <v>150</v>
      </c>
    </row>
    <row r="60" spans="1:49" x14ac:dyDescent="0.25">
      <c r="A60" s="118"/>
      <c r="B60" s="12">
        <f t="shared" si="5"/>
        <v>0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10"/>
        <v>0</v>
      </c>
      <c r="K60" s="118"/>
      <c r="L60" s="12">
        <f t="shared" si="6"/>
        <v>0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11"/>
        <v>0</v>
      </c>
      <c r="U60" s="118"/>
      <c r="V60" s="12">
        <f t="shared" si="7"/>
        <v>0</v>
      </c>
      <c r="W60" s="15"/>
      <c r="X60" s="68"/>
      <c r="Y60" s="191"/>
      <c r="Z60" s="565">
        <f t="shared" si="2"/>
        <v>0</v>
      </c>
      <c r="AA60" s="69"/>
      <c r="AB60" s="70"/>
      <c r="AC60" s="102">
        <f t="shared" si="12"/>
        <v>0</v>
      </c>
      <c r="AE60" s="118"/>
      <c r="AF60" s="12">
        <f t="shared" si="8"/>
        <v>13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3"/>
        <v>130</v>
      </c>
      <c r="AO60" s="118"/>
      <c r="AP60" s="12">
        <f t="shared" si="9"/>
        <v>15</v>
      </c>
      <c r="AQ60" s="15"/>
      <c r="AR60" s="68"/>
      <c r="AS60" s="191"/>
      <c r="AT60" s="68">
        <f t="shared" si="4"/>
        <v>0</v>
      </c>
      <c r="AU60" s="69"/>
      <c r="AV60" s="70"/>
      <c r="AW60" s="102">
        <f t="shared" si="14"/>
        <v>150</v>
      </c>
    </row>
    <row r="61" spans="1:49" x14ac:dyDescent="0.25">
      <c r="A61" s="118"/>
      <c r="B61" s="12">
        <f t="shared" si="5"/>
        <v>0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10"/>
        <v>0</v>
      </c>
      <c r="K61" s="118"/>
      <c r="L61" s="12">
        <f t="shared" si="6"/>
        <v>0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11"/>
        <v>0</v>
      </c>
      <c r="U61" s="118"/>
      <c r="V61" s="12">
        <f t="shared" si="7"/>
        <v>0</v>
      </c>
      <c r="W61" s="15"/>
      <c r="X61" s="68"/>
      <c r="Y61" s="191"/>
      <c r="Z61" s="565">
        <f t="shared" si="2"/>
        <v>0</v>
      </c>
      <c r="AA61" s="69"/>
      <c r="AB61" s="70"/>
      <c r="AC61" s="102">
        <f t="shared" si="12"/>
        <v>0</v>
      </c>
      <c r="AE61" s="118"/>
      <c r="AF61" s="12">
        <f t="shared" si="8"/>
        <v>13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3"/>
        <v>130</v>
      </c>
      <c r="AO61" s="118"/>
      <c r="AP61" s="12">
        <f t="shared" si="9"/>
        <v>15</v>
      </c>
      <c r="AQ61" s="15"/>
      <c r="AR61" s="68"/>
      <c r="AS61" s="191"/>
      <c r="AT61" s="68">
        <f t="shared" si="4"/>
        <v>0</v>
      </c>
      <c r="AU61" s="69"/>
      <c r="AV61" s="70"/>
      <c r="AW61" s="102">
        <f t="shared" si="14"/>
        <v>150</v>
      </c>
    </row>
    <row r="62" spans="1:49" x14ac:dyDescent="0.25">
      <c r="A62" s="118"/>
      <c r="B62" s="12">
        <f t="shared" si="5"/>
        <v>0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10"/>
        <v>0</v>
      </c>
      <c r="K62" s="118"/>
      <c r="L62" s="12">
        <f t="shared" si="6"/>
        <v>0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11"/>
        <v>0</v>
      </c>
      <c r="U62" s="118"/>
      <c r="V62" s="12">
        <f t="shared" si="7"/>
        <v>0</v>
      </c>
      <c r="W62" s="15"/>
      <c r="X62" s="68"/>
      <c r="Y62" s="191"/>
      <c r="Z62" s="565">
        <f t="shared" si="2"/>
        <v>0</v>
      </c>
      <c r="AA62" s="69"/>
      <c r="AB62" s="70"/>
      <c r="AC62" s="102">
        <f t="shared" si="12"/>
        <v>0</v>
      </c>
      <c r="AE62" s="118"/>
      <c r="AF62" s="12">
        <f t="shared" si="8"/>
        <v>13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3"/>
        <v>130</v>
      </c>
      <c r="AO62" s="118"/>
      <c r="AP62" s="12">
        <f t="shared" si="9"/>
        <v>15</v>
      </c>
      <c r="AQ62" s="15"/>
      <c r="AR62" s="68"/>
      <c r="AS62" s="191"/>
      <c r="AT62" s="68">
        <f t="shared" si="4"/>
        <v>0</v>
      </c>
      <c r="AU62" s="69"/>
      <c r="AV62" s="70"/>
      <c r="AW62" s="102">
        <f t="shared" si="14"/>
        <v>150</v>
      </c>
    </row>
    <row r="63" spans="1:49" x14ac:dyDescent="0.25">
      <c r="A63" s="118"/>
      <c r="B63" s="12">
        <f t="shared" si="5"/>
        <v>0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10"/>
        <v>0</v>
      </c>
      <c r="K63" s="118"/>
      <c r="L63" s="12">
        <f t="shared" si="6"/>
        <v>0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11"/>
        <v>0</v>
      </c>
      <c r="U63" s="118"/>
      <c r="V63" s="12">
        <f t="shared" si="7"/>
        <v>0</v>
      </c>
      <c r="W63" s="15"/>
      <c r="X63" s="68"/>
      <c r="Y63" s="191"/>
      <c r="Z63" s="565">
        <f t="shared" si="2"/>
        <v>0</v>
      </c>
      <c r="AA63" s="69"/>
      <c r="AB63" s="70"/>
      <c r="AC63" s="102">
        <f t="shared" si="12"/>
        <v>0</v>
      </c>
      <c r="AE63" s="118"/>
      <c r="AF63" s="12">
        <f t="shared" si="8"/>
        <v>13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3"/>
        <v>130</v>
      </c>
      <c r="AO63" s="118"/>
      <c r="AP63" s="12">
        <f t="shared" si="9"/>
        <v>15</v>
      </c>
      <c r="AQ63" s="15"/>
      <c r="AR63" s="68"/>
      <c r="AS63" s="191"/>
      <c r="AT63" s="68">
        <f t="shared" si="4"/>
        <v>0</v>
      </c>
      <c r="AU63" s="69"/>
      <c r="AV63" s="70"/>
      <c r="AW63" s="102">
        <f t="shared" si="14"/>
        <v>150</v>
      </c>
    </row>
    <row r="64" spans="1:49" x14ac:dyDescent="0.25">
      <c r="A64" s="118"/>
      <c r="B64" s="12">
        <f t="shared" si="5"/>
        <v>0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10"/>
        <v>0</v>
      </c>
      <c r="K64" s="118"/>
      <c r="L64" s="12">
        <f t="shared" si="6"/>
        <v>0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11"/>
        <v>0</v>
      </c>
      <c r="U64" s="118"/>
      <c r="V64" s="12">
        <f t="shared" si="7"/>
        <v>0</v>
      </c>
      <c r="W64" s="15"/>
      <c r="X64" s="68"/>
      <c r="Y64" s="191"/>
      <c r="Z64" s="565">
        <f t="shared" si="2"/>
        <v>0</v>
      </c>
      <c r="AA64" s="69"/>
      <c r="AB64" s="70"/>
      <c r="AC64" s="102">
        <f t="shared" si="12"/>
        <v>0</v>
      </c>
      <c r="AE64" s="118"/>
      <c r="AF64" s="12">
        <f t="shared" si="8"/>
        <v>13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3"/>
        <v>130</v>
      </c>
      <c r="AO64" s="118"/>
      <c r="AP64" s="12">
        <f t="shared" si="9"/>
        <v>15</v>
      </c>
      <c r="AQ64" s="15"/>
      <c r="AR64" s="68"/>
      <c r="AS64" s="191"/>
      <c r="AT64" s="68">
        <f t="shared" si="4"/>
        <v>0</v>
      </c>
      <c r="AU64" s="69"/>
      <c r="AV64" s="70"/>
      <c r="AW64" s="102">
        <f t="shared" si="14"/>
        <v>150</v>
      </c>
    </row>
    <row r="65" spans="1:49" x14ac:dyDescent="0.25">
      <c r="A65" s="118"/>
      <c r="B65" s="12">
        <f t="shared" si="5"/>
        <v>0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10"/>
        <v>0</v>
      </c>
      <c r="K65" s="118"/>
      <c r="L65" s="12">
        <f t="shared" si="6"/>
        <v>0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11"/>
        <v>0</v>
      </c>
      <c r="U65" s="118"/>
      <c r="V65" s="12">
        <f t="shared" si="7"/>
        <v>0</v>
      </c>
      <c r="W65" s="15"/>
      <c r="X65" s="68"/>
      <c r="Y65" s="191"/>
      <c r="Z65" s="565">
        <f t="shared" si="2"/>
        <v>0</v>
      </c>
      <c r="AA65" s="69"/>
      <c r="AB65" s="70"/>
      <c r="AC65" s="102">
        <f t="shared" si="12"/>
        <v>0</v>
      </c>
      <c r="AE65" s="118"/>
      <c r="AF65" s="12">
        <f t="shared" si="8"/>
        <v>13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3"/>
        <v>130</v>
      </c>
      <c r="AO65" s="118"/>
      <c r="AP65" s="12">
        <f t="shared" si="9"/>
        <v>15</v>
      </c>
      <c r="AQ65" s="15"/>
      <c r="AR65" s="68"/>
      <c r="AS65" s="191"/>
      <c r="AT65" s="68">
        <f t="shared" si="4"/>
        <v>0</v>
      </c>
      <c r="AU65" s="69"/>
      <c r="AV65" s="70"/>
      <c r="AW65" s="102">
        <f t="shared" si="14"/>
        <v>150</v>
      </c>
    </row>
    <row r="66" spans="1:49" x14ac:dyDescent="0.25">
      <c r="A66" s="118"/>
      <c r="B66" s="12">
        <f t="shared" si="5"/>
        <v>0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10"/>
        <v>0</v>
      </c>
      <c r="K66" s="118"/>
      <c r="L66" s="12">
        <f t="shared" si="6"/>
        <v>0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11"/>
        <v>0</v>
      </c>
      <c r="U66" s="118"/>
      <c r="V66" s="12">
        <f t="shared" si="7"/>
        <v>0</v>
      </c>
      <c r="W66" s="15"/>
      <c r="X66" s="68"/>
      <c r="Y66" s="191"/>
      <c r="Z66" s="565">
        <f t="shared" si="2"/>
        <v>0</v>
      </c>
      <c r="AA66" s="69"/>
      <c r="AB66" s="70"/>
      <c r="AC66" s="102">
        <f t="shared" si="12"/>
        <v>0</v>
      </c>
      <c r="AE66" s="118"/>
      <c r="AF66" s="12">
        <f t="shared" si="8"/>
        <v>13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3"/>
        <v>130</v>
      </c>
      <c r="AO66" s="118"/>
      <c r="AP66" s="12">
        <f t="shared" si="9"/>
        <v>15</v>
      </c>
      <c r="AQ66" s="15"/>
      <c r="AR66" s="68"/>
      <c r="AS66" s="191"/>
      <c r="AT66" s="68">
        <f t="shared" si="4"/>
        <v>0</v>
      </c>
      <c r="AU66" s="69"/>
      <c r="AV66" s="70"/>
      <c r="AW66" s="102">
        <f t="shared" si="14"/>
        <v>150</v>
      </c>
    </row>
    <row r="67" spans="1:49" x14ac:dyDescent="0.25">
      <c r="A67" s="118"/>
      <c r="B67" s="12">
        <f t="shared" si="5"/>
        <v>0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10"/>
        <v>0</v>
      </c>
      <c r="K67" s="118"/>
      <c r="L67" s="12">
        <f t="shared" si="6"/>
        <v>0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11"/>
        <v>0</v>
      </c>
      <c r="U67" s="118"/>
      <c r="V67" s="12">
        <f t="shared" si="7"/>
        <v>0</v>
      </c>
      <c r="W67" s="15"/>
      <c r="X67" s="68"/>
      <c r="Y67" s="191"/>
      <c r="Z67" s="565">
        <f t="shared" si="2"/>
        <v>0</v>
      </c>
      <c r="AA67" s="69"/>
      <c r="AB67" s="70"/>
      <c r="AC67" s="102">
        <f t="shared" si="12"/>
        <v>0</v>
      </c>
      <c r="AE67" s="118"/>
      <c r="AF67" s="12">
        <f t="shared" si="8"/>
        <v>13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3"/>
        <v>130</v>
      </c>
      <c r="AO67" s="118"/>
      <c r="AP67" s="12">
        <f t="shared" si="9"/>
        <v>15</v>
      </c>
      <c r="AQ67" s="15"/>
      <c r="AR67" s="68"/>
      <c r="AS67" s="191"/>
      <c r="AT67" s="68">
        <f t="shared" si="4"/>
        <v>0</v>
      </c>
      <c r="AU67" s="69"/>
      <c r="AV67" s="70"/>
      <c r="AW67" s="102">
        <f t="shared" si="14"/>
        <v>150</v>
      </c>
    </row>
    <row r="68" spans="1:49" x14ac:dyDescent="0.25">
      <c r="A68" s="118"/>
      <c r="B68" s="12">
        <f t="shared" si="5"/>
        <v>0</v>
      </c>
      <c r="C68" s="15"/>
      <c r="D68" s="58"/>
      <c r="E68" s="198"/>
      <c r="F68" s="68">
        <f t="shared" si="0"/>
        <v>0</v>
      </c>
      <c r="G68" s="69"/>
      <c r="H68" s="70"/>
      <c r="I68" s="102">
        <f t="shared" si="10"/>
        <v>0</v>
      </c>
      <c r="K68" s="118"/>
      <c r="L68" s="12">
        <f t="shared" si="6"/>
        <v>0</v>
      </c>
      <c r="M68" s="15"/>
      <c r="N68" s="58"/>
      <c r="O68" s="198"/>
      <c r="P68" s="68">
        <f t="shared" si="1"/>
        <v>0</v>
      </c>
      <c r="Q68" s="69"/>
      <c r="R68" s="70"/>
      <c r="S68" s="102">
        <f t="shared" si="11"/>
        <v>0</v>
      </c>
      <c r="U68" s="118"/>
      <c r="V68" s="12">
        <f t="shared" si="7"/>
        <v>0</v>
      </c>
      <c r="W68" s="15"/>
      <c r="X68" s="58"/>
      <c r="Y68" s="198"/>
      <c r="Z68" s="565">
        <f t="shared" si="2"/>
        <v>0</v>
      </c>
      <c r="AA68" s="69"/>
      <c r="AB68" s="70"/>
      <c r="AC68" s="102">
        <f t="shared" si="12"/>
        <v>0</v>
      </c>
      <c r="AE68" s="118"/>
      <c r="AF68" s="12">
        <f t="shared" si="8"/>
        <v>13</v>
      </c>
      <c r="AG68" s="15"/>
      <c r="AH68" s="68"/>
      <c r="AI68" s="191"/>
      <c r="AJ68" s="68">
        <f t="shared" si="3"/>
        <v>0</v>
      </c>
      <c r="AK68" s="69"/>
      <c r="AL68" s="70"/>
      <c r="AM68" s="102">
        <f t="shared" si="13"/>
        <v>130</v>
      </c>
      <c r="AO68" s="118"/>
      <c r="AP68" s="12">
        <f t="shared" si="9"/>
        <v>15</v>
      </c>
      <c r="AQ68" s="15"/>
      <c r="AR68" s="58"/>
      <c r="AS68" s="198"/>
      <c r="AT68" s="68">
        <f t="shared" si="4"/>
        <v>0</v>
      </c>
      <c r="AU68" s="69"/>
      <c r="AV68" s="70"/>
      <c r="AW68" s="102">
        <f t="shared" si="14"/>
        <v>150</v>
      </c>
    </row>
    <row r="69" spans="1:49" x14ac:dyDescent="0.25">
      <c r="A69" s="118"/>
      <c r="B69" s="12">
        <f t="shared" si="5"/>
        <v>0</v>
      </c>
      <c r="C69" s="15"/>
      <c r="D69" s="58"/>
      <c r="E69" s="198"/>
      <c r="F69" s="68">
        <f t="shared" si="0"/>
        <v>0</v>
      </c>
      <c r="G69" s="69"/>
      <c r="H69" s="70"/>
      <c r="I69" s="102">
        <f t="shared" si="10"/>
        <v>0</v>
      </c>
      <c r="K69" s="118"/>
      <c r="L69" s="12">
        <f t="shared" si="6"/>
        <v>0</v>
      </c>
      <c r="M69" s="15"/>
      <c r="N69" s="58"/>
      <c r="O69" s="198"/>
      <c r="P69" s="68">
        <f t="shared" si="1"/>
        <v>0</v>
      </c>
      <c r="Q69" s="69"/>
      <c r="R69" s="70"/>
      <c r="S69" s="102">
        <f t="shared" si="11"/>
        <v>0</v>
      </c>
      <c r="U69" s="118"/>
      <c r="V69" s="12">
        <f t="shared" si="7"/>
        <v>0</v>
      </c>
      <c r="W69" s="15"/>
      <c r="X69" s="58"/>
      <c r="Y69" s="198"/>
      <c r="Z69" s="565">
        <f t="shared" si="2"/>
        <v>0</v>
      </c>
      <c r="AA69" s="69"/>
      <c r="AB69" s="70"/>
      <c r="AC69" s="102">
        <f t="shared" si="12"/>
        <v>0</v>
      </c>
      <c r="AE69" s="118"/>
      <c r="AF69" s="12">
        <f t="shared" si="8"/>
        <v>13</v>
      </c>
      <c r="AG69" s="15"/>
      <c r="AH69" s="68"/>
      <c r="AI69" s="191"/>
      <c r="AJ69" s="68">
        <f t="shared" si="3"/>
        <v>0</v>
      </c>
      <c r="AK69" s="69"/>
      <c r="AL69" s="70"/>
      <c r="AM69" s="102">
        <f t="shared" si="13"/>
        <v>130</v>
      </c>
      <c r="AO69" s="118"/>
      <c r="AP69" s="12">
        <f t="shared" si="9"/>
        <v>15</v>
      </c>
      <c r="AQ69" s="15"/>
      <c r="AR69" s="58"/>
      <c r="AS69" s="198"/>
      <c r="AT69" s="68">
        <f t="shared" si="4"/>
        <v>0</v>
      </c>
      <c r="AU69" s="69"/>
      <c r="AV69" s="70"/>
      <c r="AW69" s="102">
        <f t="shared" si="14"/>
        <v>150</v>
      </c>
    </row>
    <row r="70" spans="1:49" x14ac:dyDescent="0.25">
      <c r="A70" s="118"/>
      <c r="B70" s="12">
        <f t="shared" si="5"/>
        <v>0</v>
      </c>
      <c r="C70" s="15"/>
      <c r="D70" s="58"/>
      <c r="E70" s="198"/>
      <c r="F70" s="68">
        <f t="shared" si="0"/>
        <v>0</v>
      </c>
      <c r="G70" s="69"/>
      <c r="H70" s="70"/>
      <c r="I70" s="102">
        <f t="shared" si="10"/>
        <v>0</v>
      </c>
      <c r="K70" s="118"/>
      <c r="L70" s="12">
        <f t="shared" si="6"/>
        <v>0</v>
      </c>
      <c r="M70" s="15"/>
      <c r="N70" s="58"/>
      <c r="O70" s="198"/>
      <c r="P70" s="68">
        <f t="shared" si="1"/>
        <v>0</v>
      </c>
      <c r="Q70" s="69"/>
      <c r="R70" s="70"/>
      <c r="S70" s="102">
        <f t="shared" si="11"/>
        <v>0</v>
      </c>
      <c r="U70" s="118"/>
      <c r="V70" s="12">
        <f t="shared" si="7"/>
        <v>0</v>
      </c>
      <c r="W70" s="15"/>
      <c r="X70" s="58"/>
      <c r="Y70" s="198"/>
      <c r="Z70" s="565">
        <f t="shared" si="2"/>
        <v>0</v>
      </c>
      <c r="AA70" s="69"/>
      <c r="AB70" s="70"/>
      <c r="AC70" s="102">
        <f t="shared" si="12"/>
        <v>0</v>
      </c>
      <c r="AE70" s="118"/>
      <c r="AF70" s="12">
        <f t="shared" si="8"/>
        <v>13</v>
      </c>
      <c r="AG70" s="15"/>
      <c r="AH70" s="68"/>
      <c r="AI70" s="191"/>
      <c r="AJ70" s="68">
        <f t="shared" si="3"/>
        <v>0</v>
      </c>
      <c r="AK70" s="69"/>
      <c r="AL70" s="70"/>
      <c r="AM70" s="102">
        <f t="shared" si="13"/>
        <v>130</v>
      </c>
      <c r="AO70" s="118"/>
      <c r="AP70" s="12">
        <f t="shared" si="9"/>
        <v>15</v>
      </c>
      <c r="AQ70" s="15"/>
      <c r="AR70" s="58"/>
      <c r="AS70" s="198"/>
      <c r="AT70" s="68">
        <f t="shared" si="4"/>
        <v>0</v>
      </c>
      <c r="AU70" s="69"/>
      <c r="AV70" s="70"/>
      <c r="AW70" s="102">
        <f t="shared" si="14"/>
        <v>150</v>
      </c>
    </row>
    <row r="71" spans="1:49" x14ac:dyDescent="0.25">
      <c r="A71" s="118"/>
      <c r="B71" s="12">
        <f t="shared" si="5"/>
        <v>0</v>
      </c>
      <c r="C71" s="15"/>
      <c r="D71" s="58"/>
      <c r="E71" s="198"/>
      <c r="F71" s="68">
        <f t="shared" si="0"/>
        <v>0</v>
      </c>
      <c r="G71" s="69"/>
      <c r="H71" s="70"/>
      <c r="I71" s="102">
        <f t="shared" si="10"/>
        <v>0</v>
      </c>
      <c r="K71" s="118"/>
      <c r="L71" s="12">
        <f t="shared" si="6"/>
        <v>0</v>
      </c>
      <c r="M71" s="15"/>
      <c r="N71" s="58"/>
      <c r="O71" s="198"/>
      <c r="P71" s="68">
        <f t="shared" si="1"/>
        <v>0</v>
      </c>
      <c r="Q71" s="69"/>
      <c r="R71" s="70"/>
      <c r="S71" s="102">
        <f t="shared" si="11"/>
        <v>0</v>
      </c>
      <c r="U71" s="118"/>
      <c r="V71" s="12">
        <f t="shared" si="7"/>
        <v>0</v>
      </c>
      <c r="W71" s="15"/>
      <c r="X71" s="58"/>
      <c r="Y71" s="198"/>
      <c r="Z71" s="565">
        <f t="shared" si="2"/>
        <v>0</v>
      </c>
      <c r="AA71" s="69"/>
      <c r="AB71" s="70"/>
      <c r="AC71" s="102">
        <f t="shared" si="12"/>
        <v>0</v>
      </c>
      <c r="AE71" s="118"/>
      <c r="AF71" s="12">
        <f t="shared" si="8"/>
        <v>13</v>
      </c>
      <c r="AG71" s="15"/>
      <c r="AH71" s="68"/>
      <c r="AI71" s="191"/>
      <c r="AJ71" s="68">
        <f t="shared" si="3"/>
        <v>0</v>
      </c>
      <c r="AK71" s="69"/>
      <c r="AL71" s="70"/>
      <c r="AM71" s="102">
        <f t="shared" si="13"/>
        <v>130</v>
      </c>
      <c r="AO71" s="118"/>
      <c r="AP71" s="12">
        <f t="shared" si="9"/>
        <v>15</v>
      </c>
      <c r="AQ71" s="15"/>
      <c r="AR71" s="58"/>
      <c r="AS71" s="198"/>
      <c r="AT71" s="68">
        <f t="shared" si="4"/>
        <v>0</v>
      </c>
      <c r="AU71" s="69"/>
      <c r="AV71" s="70"/>
      <c r="AW71" s="102">
        <f t="shared" si="14"/>
        <v>150</v>
      </c>
    </row>
    <row r="72" spans="1:49" x14ac:dyDescent="0.25">
      <c r="A72" s="118"/>
      <c r="B72" s="12">
        <f t="shared" si="5"/>
        <v>0</v>
      </c>
      <c r="C72" s="15"/>
      <c r="D72" s="58"/>
      <c r="E72" s="198"/>
      <c r="F72" s="68">
        <f t="shared" si="0"/>
        <v>0</v>
      </c>
      <c r="G72" s="69"/>
      <c r="H72" s="70"/>
      <c r="I72" s="102">
        <f t="shared" si="10"/>
        <v>0</v>
      </c>
      <c r="K72" s="118"/>
      <c r="L72" s="12">
        <f t="shared" si="6"/>
        <v>0</v>
      </c>
      <c r="M72" s="15"/>
      <c r="N72" s="58"/>
      <c r="O72" s="198"/>
      <c r="P72" s="68">
        <f t="shared" si="1"/>
        <v>0</v>
      </c>
      <c r="Q72" s="69"/>
      <c r="R72" s="70"/>
      <c r="S72" s="102">
        <f t="shared" si="11"/>
        <v>0</v>
      </c>
      <c r="U72" s="118"/>
      <c r="V72" s="12">
        <f t="shared" si="7"/>
        <v>0</v>
      </c>
      <c r="W72" s="15"/>
      <c r="X72" s="58"/>
      <c r="Y72" s="198"/>
      <c r="Z72" s="565">
        <f t="shared" si="2"/>
        <v>0</v>
      </c>
      <c r="AA72" s="69"/>
      <c r="AB72" s="70"/>
      <c r="AC72" s="102">
        <f t="shared" si="12"/>
        <v>0</v>
      </c>
      <c r="AE72" s="118"/>
      <c r="AF72" s="12">
        <f t="shared" si="8"/>
        <v>13</v>
      </c>
      <c r="AG72" s="15"/>
      <c r="AH72" s="68"/>
      <c r="AI72" s="191"/>
      <c r="AJ72" s="68">
        <f t="shared" si="3"/>
        <v>0</v>
      </c>
      <c r="AK72" s="69"/>
      <c r="AL72" s="70"/>
      <c r="AM72" s="102">
        <f t="shared" si="13"/>
        <v>130</v>
      </c>
      <c r="AO72" s="118"/>
      <c r="AP72" s="12">
        <f t="shared" si="9"/>
        <v>15</v>
      </c>
      <c r="AQ72" s="15"/>
      <c r="AR72" s="58"/>
      <c r="AS72" s="198"/>
      <c r="AT72" s="68">
        <f t="shared" si="4"/>
        <v>0</v>
      </c>
      <c r="AU72" s="69"/>
      <c r="AV72" s="70"/>
      <c r="AW72" s="102">
        <f t="shared" si="14"/>
        <v>150</v>
      </c>
    </row>
    <row r="73" spans="1:49" x14ac:dyDescent="0.25">
      <c r="A73" s="118"/>
      <c r="B73" s="12">
        <f t="shared" si="5"/>
        <v>0</v>
      </c>
      <c r="C73" s="15"/>
      <c r="D73" s="58"/>
      <c r="E73" s="198"/>
      <c r="F73" s="68">
        <f t="shared" ref="F73:F76" si="15">D73</f>
        <v>0</v>
      </c>
      <c r="G73" s="69"/>
      <c r="H73" s="70"/>
      <c r="I73" s="102">
        <f t="shared" si="10"/>
        <v>0</v>
      </c>
      <c r="K73" s="118"/>
      <c r="L73" s="12">
        <f t="shared" si="6"/>
        <v>0</v>
      </c>
      <c r="M73" s="15"/>
      <c r="N73" s="58"/>
      <c r="O73" s="198"/>
      <c r="P73" s="68">
        <f t="shared" ref="P73:P76" si="16">N73</f>
        <v>0</v>
      </c>
      <c r="Q73" s="69"/>
      <c r="R73" s="70"/>
      <c r="S73" s="102">
        <f t="shared" si="11"/>
        <v>0</v>
      </c>
      <c r="U73" s="118"/>
      <c r="V73" s="12">
        <f t="shared" si="7"/>
        <v>0</v>
      </c>
      <c r="W73" s="15"/>
      <c r="X73" s="58"/>
      <c r="Y73" s="198"/>
      <c r="Z73" s="565">
        <f t="shared" ref="Z73:Z76" si="17">X73</f>
        <v>0</v>
      </c>
      <c r="AA73" s="69"/>
      <c r="AB73" s="70"/>
      <c r="AC73" s="102">
        <f t="shared" si="12"/>
        <v>0</v>
      </c>
      <c r="AE73" s="118"/>
      <c r="AF73" s="12">
        <f t="shared" si="8"/>
        <v>13</v>
      </c>
      <c r="AG73" s="15"/>
      <c r="AH73" s="68"/>
      <c r="AI73" s="191"/>
      <c r="AJ73" s="68">
        <f t="shared" ref="AJ73:AJ76" si="18">AH73</f>
        <v>0</v>
      </c>
      <c r="AK73" s="69"/>
      <c r="AL73" s="70"/>
      <c r="AM73" s="102">
        <f t="shared" si="13"/>
        <v>130</v>
      </c>
      <c r="AO73" s="118"/>
      <c r="AP73" s="12">
        <f t="shared" si="9"/>
        <v>15</v>
      </c>
      <c r="AQ73" s="15"/>
      <c r="AR73" s="58"/>
      <c r="AS73" s="198"/>
      <c r="AT73" s="68">
        <f t="shared" ref="AT73:AT76" si="19">AR73</f>
        <v>0</v>
      </c>
      <c r="AU73" s="69"/>
      <c r="AV73" s="70"/>
      <c r="AW73" s="102">
        <f t="shared" si="14"/>
        <v>150</v>
      </c>
    </row>
    <row r="74" spans="1:49" x14ac:dyDescent="0.25">
      <c r="A74" s="118"/>
      <c r="B74" s="12">
        <f t="shared" ref="B74:B75" si="20">B73-C74</f>
        <v>0</v>
      </c>
      <c r="C74" s="15"/>
      <c r="D74" s="58"/>
      <c r="E74" s="198"/>
      <c r="F74" s="68">
        <f t="shared" si="15"/>
        <v>0</v>
      </c>
      <c r="G74" s="69"/>
      <c r="H74" s="70"/>
      <c r="I74" s="102">
        <f t="shared" si="10"/>
        <v>0</v>
      </c>
      <c r="K74" s="118"/>
      <c r="L74" s="12">
        <f t="shared" ref="L74:L75" si="21">L73-M74</f>
        <v>0</v>
      </c>
      <c r="M74" s="15"/>
      <c r="N74" s="58"/>
      <c r="O74" s="198"/>
      <c r="P74" s="68">
        <f t="shared" si="16"/>
        <v>0</v>
      </c>
      <c r="Q74" s="69"/>
      <c r="R74" s="70"/>
      <c r="S74" s="102">
        <f t="shared" si="11"/>
        <v>0</v>
      </c>
      <c r="U74" s="118"/>
      <c r="V74" s="12">
        <f t="shared" ref="V74:V75" si="22">V73-W74</f>
        <v>0</v>
      </c>
      <c r="W74" s="15"/>
      <c r="X74" s="58"/>
      <c r="Y74" s="198"/>
      <c r="Z74" s="565">
        <f t="shared" si="17"/>
        <v>0</v>
      </c>
      <c r="AA74" s="69"/>
      <c r="AB74" s="70"/>
      <c r="AC74" s="102">
        <f t="shared" si="12"/>
        <v>0</v>
      </c>
      <c r="AE74" s="118"/>
      <c r="AF74" s="12">
        <f t="shared" ref="AF74:AF75" si="23">AF73-AG74</f>
        <v>13</v>
      </c>
      <c r="AG74" s="15"/>
      <c r="AH74" s="58"/>
      <c r="AI74" s="198"/>
      <c r="AJ74" s="68">
        <f t="shared" si="18"/>
        <v>0</v>
      </c>
      <c r="AK74" s="69"/>
      <c r="AL74" s="70"/>
      <c r="AM74" s="102">
        <f t="shared" si="13"/>
        <v>130</v>
      </c>
      <c r="AO74" s="118"/>
      <c r="AP74" s="12">
        <f t="shared" ref="AP74:AP75" si="24">AP73-AQ74</f>
        <v>15</v>
      </c>
      <c r="AQ74" s="15"/>
      <c r="AR74" s="58"/>
      <c r="AS74" s="198"/>
      <c r="AT74" s="68">
        <f t="shared" si="19"/>
        <v>0</v>
      </c>
      <c r="AU74" s="69"/>
      <c r="AV74" s="70"/>
      <c r="AW74" s="102">
        <f t="shared" si="14"/>
        <v>150</v>
      </c>
    </row>
    <row r="75" spans="1:49" x14ac:dyDescent="0.25">
      <c r="A75" s="118"/>
      <c r="B75" s="12">
        <f t="shared" si="20"/>
        <v>0</v>
      </c>
      <c r="C75" s="15"/>
      <c r="D75" s="58"/>
      <c r="E75" s="198"/>
      <c r="F75" s="68">
        <f t="shared" si="15"/>
        <v>0</v>
      </c>
      <c r="G75" s="69"/>
      <c r="H75" s="70"/>
      <c r="I75" s="102">
        <f t="shared" ref="I75:I76" si="25">I74-F75</f>
        <v>0</v>
      </c>
      <c r="K75" s="118"/>
      <c r="L75" s="12">
        <f t="shared" si="21"/>
        <v>0</v>
      </c>
      <c r="M75" s="15"/>
      <c r="N75" s="58"/>
      <c r="O75" s="198"/>
      <c r="P75" s="68">
        <f t="shared" si="16"/>
        <v>0</v>
      </c>
      <c r="Q75" s="69"/>
      <c r="R75" s="70"/>
      <c r="S75" s="102">
        <f t="shared" ref="S75:S76" si="26">S74-P75</f>
        <v>0</v>
      </c>
      <c r="U75" s="118"/>
      <c r="V75" s="12">
        <f t="shared" si="22"/>
        <v>0</v>
      </c>
      <c r="W75" s="15"/>
      <c r="X75" s="58"/>
      <c r="Y75" s="198"/>
      <c r="Z75" s="565">
        <f t="shared" si="17"/>
        <v>0</v>
      </c>
      <c r="AA75" s="69"/>
      <c r="AB75" s="70"/>
      <c r="AC75" s="102">
        <f t="shared" ref="AC75:AC76" si="27">AC74-Z75</f>
        <v>0</v>
      </c>
      <c r="AE75" s="118"/>
      <c r="AF75" s="12">
        <f t="shared" si="23"/>
        <v>13</v>
      </c>
      <c r="AG75" s="15"/>
      <c r="AH75" s="58"/>
      <c r="AI75" s="198"/>
      <c r="AJ75" s="68">
        <f t="shared" si="18"/>
        <v>0</v>
      </c>
      <c r="AK75" s="69"/>
      <c r="AL75" s="70"/>
      <c r="AM75" s="102">
        <f t="shared" ref="AM75:AM76" si="28">AM74-AJ75</f>
        <v>130</v>
      </c>
      <c r="AO75" s="118"/>
      <c r="AP75" s="12">
        <f t="shared" si="24"/>
        <v>15</v>
      </c>
      <c r="AQ75" s="15"/>
      <c r="AR75" s="58"/>
      <c r="AS75" s="198"/>
      <c r="AT75" s="68">
        <f t="shared" si="19"/>
        <v>0</v>
      </c>
      <c r="AU75" s="69"/>
      <c r="AV75" s="70"/>
      <c r="AW75" s="102">
        <f t="shared" ref="AW75:AW76" si="29">AW74-AT75</f>
        <v>150</v>
      </c>
    </row>
    <row r="76" spans="1:49" x14ac:dyDescent="0.25">
      <c r="A76" s="118"/>
      <c r="C76" s="15"/>
      <c r="D76" s="58"/>
      <c r="E76" s="198"/>
      <c r="F76" s="68">
        <f t="shared" si="15"/>
        <v>0</v>
      </c>
      <c r="G76" s="69"/>
      <c r="H76" s="70"/>
      <c r="I76" s="102">
        <f t="shared" si="25"/>
        <v>0</v>
      </c>
      <c r="K76" s="118"/>
      <c r="M76" s="15"/>
      <c r="N76" s="58"/>
      <c r="O76" s="198"/>
      <c r="P76" s="68">
        <f t="shared" si="16"/>
        <v>0</v>
      </c>
      <c r="Q76" s="69"/>
      <c r="R76" s="70"/>
      <c r="S76" s="102">
        <f t="shared" si="26"/>
        <v>0</v>
      </c>
      <c r="U76" s="118"/>
      <c r="W76" s="15"/>
      <c r="X76" s="58"/>
      <c r="Y76" s="198"/>
      <c r="Z76" s="565">
        <f t="shared" si="17"/>
        <v>0</v>
      </c>
      <c r="AA76" s="69"/>
      <c r="AB76" s="70"/>
      <c r="AC76" s="102">
        <f t="shared" si="27"/>
        <v>0</v>
      </c>
      <c r="AE76" s="118"/>
      <c r="AG76" s="15"/>
      <c r="AH76" s="58"/>
      <c r="AI76" s="198"/>
      <c r="AJ76" s="68">
        <f t="shared" si="18"/>
        <v>0</v>
      </c>
      <c r="AK76" s="69"/>
      <c r="AL76" s="70"/>
      <c r="AM76" s="102">
        <f t="shared" si="28"/>
        <v>130</v>
      </c>
      <c r="AO76" s="118"/>
      <c r="AQ76" s="15"/>
      <c r="AR76" s="58"/>
      <c r="AS76" s="198"/>
      <c r="AT76" s="68">
        <f t="shared" si="19"/>
        <v>0</v>
      </c>
      <c r="AU76" s="69"/>
      <c r="AV76" s="70"/>
      <c r="AW76" s="102">
        <f t="shared" si="29"/>
        <v>150</v>
      </c>
    </row>
    <row r="77" spans="1:4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  <c r="AO77" s="118"/>
      <c r="AP77" s="16"/>
      <c r="AQ77" s="52"/>
      <c r="AR77" s="104"/>
      <c r="AS77" s="187"/>
      <c r="AT77" s="100"/>
      <c r="AU77" s="101"/>
      <c r="AV77" s="59"/>
    </row>
    <row r="78" spans="1:49" x14ac:dyDescent="0.25">
      <c r="C78" s="53">
        <f>SUM(C9:C77)</f>
        <v>32</v>
      </c>
      <c r="D78" s="6">
        <f>SUM(D9:D77)</f>
        <v>320</v>
      </c>
      <c r="F78" s="6">
        <f>SUM(F9:F77)</f>
        <v>320</v>
      </c>
      <c r="M78" s="53">
        <f>SUM(M9:M77)</f>
        <v>20</v>
      </c>
      <c r="N78" s="6">
        <f>SUM(N9:N77)</f>
        <v>200</v>
      </c>
      <c r="P78" s="6">
        <f>SUM(P9:P77)</f>
        <v>200</v>
      </c>
      <c r="W78" s="53">
        <f>SUM(W9:W77)</f>
        <v>15</v>
      </c>
      <c r="X78" s="6">
        <f>SUM(X9:X77)</f>
        <v>150</v>
      </c>
      <c r="Z78" s="6">
        <f>SUM(Z9:Z77)</f>
        <v>150</v>
      </c>
      <c r="AG78" s="53">
        <f>SUM(AG9:AG77)</f>
        <v>2</v>
      </c>
      <c r="AH78" s="6">
        <f>SUM(AH9:AH77)</f>
        <v>20</v>
      </c>
      <c r="AJ78" s="6">
        <f>SUM(AJ9:AJ77)</f>
        <v>20</v>
      </c>
      <c r="AQ78" s="53">
        <f>SUM(AQ9:AQ77)</f>
        <v>0</v>
      </c>
      <c r="AR78" s="6">
        <f>SUM(AR9:AR77)</f>
        <v>0</v>
      </c>
      <c r="AT78" s="6">
        <f>SUM(AT9:AT77)</f>
        <v>0</v>
      </c>
    </row>
    <row r="80" spans="1:49" ht="15.75" thickBot="1" x14ac:dyDescent="0.3"/>
    <row r="81" spans="3:4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0</v>
      </c>
      <c r="X81" s="45" t="s">
        <v>4</v>
      </c>
      <c r="Y81" s="55">
        <f>Z5+Z6-W78+Z7</f>
        <v>0</v>
      </c>
      <c r="AH81" s="45" t="s">
        <v>4</v>
      </c>
      <c r="AI81" s="55">
        <f>AJ5+AJ6-AG78+AJ7</f>
        <v>13</v>
      </c>
      <c r="AR81" s="45" t="s">
        <v>4</v>
      </c>
      <c r="AS81" s="55">
        <f>AT5+AT6-AQ78+AT7</f>
        <v>15</v>
      </c>
    </row>
    <row r="82" spans="3:46" ht="15.75" thickBot="1" x14ac:dyDescent="0.3"/>
    <row r="83" spans="3:46" ht="15.75" thickBot="1" x14ac:dyDescent="0.3">
      <c r="C83" s="1665" t="s">
        <v>11</v>
      </c>
      <c r="D83" s="1666"/>
      <c r="E83" s="56">
        <f>E5+E6-F78+E7</f>
        <v>0</v>
      </c>
      <c r="F83" s="72"/>
      <c r="M83" s="1665" t="s">
        <v>11</v>
      </c>
      <c r="N83" s="1666"/>
      <c r="O83" s="56">
        <f>O5+O6-P78+O7</f>
        <v>0</v>
      </c>
      <c r="P83" s="1028"/>
      <c r="W83" s="1665" t="s">
        <v>11</v>
      </c>
      <c r="X83" s="1666"/>
      <c r="Y83" s="56">
        <f>Y5+Y6-Z78+Y7</f>
        <v>0</v>
      </c>
      <c r="Z83" s="1146"/>
      <c r="AG83" s="1665" t="s">
        <v>11</v>
      </c>
      <c r="AH83" s="1666"/>
      <c r="AI83" s="56">
        <f>AI5+AI6-AJ78+AI7</f>
        <v>130</v>
      </c>
      <c r="AJ83" s="1392"/>
      <c r="AQ83" s="1665" t="s">
        <v>11</v>
      </c>
      <c r="AR83" s="1666"/>
      <c r="AS83" s="56">
        <f>AS5+AS6-AT78+AS7</f>
        <v>150</v>
      </c>
      <c r="AT83" s="1392"/>
    </row>
  </sheetData>
  <mergeCells count="20"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  <mergeCell ref="AE1:AK1"/>
    <mergeCell ref="AE5:AE6"/>
    <mergeCell ref="AF5:AF6"/>
    <mergeCell ref="AG83:AH83"/>
    <mergeCell ref="AO1:AU1"/>
    <mergeCell ref="AO5:AO6"/>
    <mergeCell ref="AP5:AP6"/>
    <mergeCell ref="AQ83:AR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671"/>
      <c r="B5" s="1680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671"/>
      <c r="B6" s="1680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36" t="s">
        <v>3</v>
      </c>
    </row>
    <row r="9" spans="1:10" ht="15.75" thickTop="1" x14ac:dyDescent="0.25">
      <c r="A9" s="72"/>
      <c r="B9" s="648">
        <f>F5-C9+F4+F6+F7</f>
        <v>0</v>
      </c>
      <c r="C9" s="624"/>
      <c r="D9" s="562"/>
      <c r="E9" s="645"/>
      <c r="F9" s="565">
        <f t="shared" ref="F9:F37" si="0">D9</f>
        <v>0</v>
      </c>
      <c r="G9" s="563"/>
      <c r="H9" s="564"/>
      <c r="I9" s="649">
        <f>H9*F9</f>
        <v>0</v>
      </c>
      <c r="J9" s="596">
        <f>E4+E5+E6+E7-F9</f>
        <v>0</v>
      </c>
    </row>
    <row r="10" spans="1:10" x14ac:dyDescent="0.25">
      <c r="B10" s="648">
        <f>B9-C10</f>
        <v>0</v>
      </c>
      <c r="C10" s="624"/>
      <c r="D10" s="562"/>
      <c r="E10" s="645"/>
      <c r="F10" s="565">
        <f t="shared" si="0"/>
        <v>0</v>
      </c>
      <c r="G10" s="563"/>
      <c r="H10" s="564"/>
      <c r="I10" s="650">
        <f t="shared" ref="I10:I37" si="1">H10*F10</f>
        <v>0</v>
      </c>
      <c r="J10" s="596">
        <f>J9-F10</f>
        <v>0</v>
      </c>
    </row>
    <row r="11" spans="1:10" x14ac:dyDescent="0.25">
      <c r="A11" s="54" t="s">
        <v>32</v>
      </c>
      <c r="B11" s="648">
        <f t="shared" ref="B11:B37" si="2">B10-C11</f>
        <v>0</v>
      </c>
      <c r="C11" s="624"/>
      <c r="D11" s="562"/>
      <c r="E11" s="645"/>
      <c r="F11" s="565">
        <f t="shared" si="0"/>
        <v>0</v>
      </c>
      <c r="G11" s="563"/>
      <c r="H11" s="564"/>
      <c r="I11" s="650">
        <f t="shared" si="1"/>
        <v>0</v>
      </c>
      <c r="J11" s="596">
        <f t="shared" ref="J11:J12" si="3">J10-F11</f>
        <v>0</v>
      </c>
    </row>
    <row r="12" spans="1:10" x14ac:dyDescent="0.25">
      <c r="A12" s="84"/>
      <c r="B12" s="648">
        <f t="shared" si="2"/>
        <v>0</v>
      </c>
      <c r="C12" s="624"/>
      <c r="D12" s="562"/>
      <c r="E12" s="645"/>
      <c r="F12" s="565">
        <f t="shared" si="0"/>
        <v>0</v>
      </c>
      <c r="G12" s="563"/>
      <c r="H12" s="564"/>
      <c r="I12" s="650">
        <f t="shared" si="1"/>
        <v>0</v>
      </c>
      <c r="J12" s="596">
        <f t="shared" si="3"/>
        <v>0</v>
      </c>
    </row>
    <row r="13" spans="1:10" x14ac:dyDescent="0.25">
      <c r="B13" s="648">
        <f t="shared" si="2"/>
        <v>0</v>
      </c>
      <c r="C13" s="624"/>
      <c r="D13" s="562"/>
      <c r="E13" s="645"/>
      <c r="F13" s="565">
        <f t="shared" si="0"/>
        <v>0</v>
      </c>
      <c r="G13" s="563"/>
      <c r="H13" s="564"/>
      <c r="I13" s="650">
        <f t="shared" si="1"/>
        <v>0</v>
      </c>
      <c r="J13" s="596">
        <f>J12-F13</f>
        <v>0</v>
      </c>
    </row>
    <row r="14" spans="1:10" x14ac:dyDescent="0.25">
      <c r="A14" s="54" t="s">
        <v>33</v>
      </c>
      <c r="B14" s="648">
        <f t="shared" si="2"/>
        <v>0</v>
      </c>
      <c r="C14" s="624"/>
      <c r="D14" s="706"/>
      <c r="E14" s="757"/>
      <c r="F14" s="750">
        <f t="shared" si="0"/>
        <v>0</v>
      </c>
      <c r="G14" s="751"/>
      <c r="H14" s="593"/>
      <c r="I14" s="650">
        <f t="shared" si="1"/>
        <v>0</v>
      </c>
      <c r="J14" s="596">
        <f t="shared" ref="J14:J37" si="4">J13-F14</f>
        <v>0</v>
      </c>
    </row>
    <row r="15" spans="1:10" x14ac:dyDescent="0.25">
      <c r="A15" s="594"/>
      <c r="B15" s="648">
        <f t="shared" si="2"/>
        <v>0</v>
      </c>
      <c r="C15" s="624"/>
      <c r="D15" s="706"/>
      <c r="E15" s="757"/>
      <c r="F15" s="750">
        <f t="shared" si="0"/>
        <v>0</v>
      </c>
      <c r="G15" s="751"/>
      <c r="H15" s="593"/>
      <c r="I15" s="650">
        <f t="shared" si="1"/>
        <v>0</v>
      </c>
      <c r="J15" s="596">
        <f t="shared" si="4"/>
        <v>0</v>
      </c>
    </row>
    <row r="16" spans="1:10" ht="15.75" x14ac:dyDescent="0.25">
      <c r="A16" s="647"/>
      <c r="B16" s="648">
        <f t="shared" si="2"/>
        <v>0</v>
      </c>
      <c r="C16" s="624"/>
      <c r="D16" s="706"/>
      <c r="E16" s="757"/>
      <c r="F16" s="750">
        <f t="shared" si="0"/>
        <v>0</v>
      </c>
      <c r="G16" s="751"/>
      <c r="H16" s="593"/>
      <c r="I16" s="650">
        <f t="shared" si="1"/>
        <v>0</v>
      </c>
      <c r="J16" s="596">
        <f t="shared" si="4"/>
        <v>0</v>
      </c>
    </row>
    <row r="17" spans="1:10" ht="15.75" x14ac:dyDescent="0.25">
      <c r="A17" s="647"/>
      <c r="B17" s="648">
        <f t="shared" si="2"/>
        <v>0</v>
      </c>
      <c r="C17" s="624"/>
      <c r="D17" s="706"/>
      <c r="E17" s="757"/>
      <c r="F17" s="750">
        <f t="shared" si="0"/>
        <v>0</v>
      </c>
      <c r="G17" s="751"/>
      <c r="H17" s="593"/>
      <c r="I17" s="650">
        <f t="shared" si="1"/>
        <v>0</v>
      </c>
      <c r="J17" s="596">
        <f t="shared" si="4"/>
        <v>0</v>
      </c>
    </row>
    <row r="18" spans="1:10" ht="15.75" x14ac:dyDescent="0.25">
      <c r="A18" s="647"/>
      <c r="B18" s="648">
        <f t="shared" si="2"/>
        <v>0</v>
      </c>
      <c r="C18" s="624"/>
      <c r="D18" s="705"/>
      <c r="E18" s="806"/>
      <c r="F18" s="802">
        <f t="shared" si="0"/>
        <v>0</v>
      </c>
      <c r="G18" s="803"/>
      <c r="H18" s="804"/>
      <c r="I18" s="650">
        <f t="shared" si="1"/>
        <v>0</v>
      </c>
      <c r="J18" s="596">
        <f t="shared" si="4"/>
        <v>0</v>
      </c>
    </row>
    <row r="19" spans="1:10" x14ac:dyDescent="0.25">
      <c r="A19" s="594"/>
      <c r="B19" s="648">
        <f t="shared" si="2"/>
        <v>0</v>
      </c>
      <c r="C19" s="624"/>
      <c r="D19" s="705"/>
      <c r="E19" s="806"/>
      <c r="F19" s="802">
        <f t="shared" si="0"/>
        <v>0</v>
      </c>
      <c r="G19" s="803"/>
      <c r="H19" s="804"/>
      <c r="I19" s="650">
        <f t="shared" si="1"/>
        <v>0</v>
      </c>
      <c r="J19" s="596">
        <f t="shared" si="4"/>
        <v>0</v>
      </c>
    </row>
    <row r="20" spans="1:10" x14ac:dyDescent="0.25">
      <c r="A20" s="594"/>
      <c r="B20" s="648">
        <f t="shared" si="2"/>
        <v>0</v>
      </c>
      <c r="C20" s="624"/>
      <c r="D20" s="705"/>
      <c r="E20" s="806"/>
      <c r="F20" s="802">
        <f t="shared" si="0"/>
        <v>0</v>
      </c>
      <c r="G20" s="803"/>
      <c r="H20" s="804"/>
      <c r="I20" s="650">
        <f t="shared" si="1"/>
        <v>0</v>
      </c>
      <c r="J20" s="596">
        <f t="shared" si="4"/>
        <v>0</v>
      </c>
    </row>
    <row r="21" spans="1:10" x14ac:dyDescent="0.25">
      <c r="B21" s="648">
        <f t="shared" si="2"/>
        <v>0</v>
      </c>
      <c r="C21" s="624"/>
      <c r="D21" s="705"/>
      <c r="E21" s="806"/>
      <c r="F21" s="802">
        <f t="shared" si="0"/>
        <v>0</v>
      </c>
      <c r="G21" s="803"/>
      <c r="H21" s="804"/>
      <c r="I21" s="650">
        <f t="shared" si="1"/>
        <v>0</v>
      </c>
      <c r="J21" s="596">
        <f t="shared" si="4"/>
        <v>0</v>
      </c>
    </row>
    <row r="22" spans="1:10" x14ac:dyDescent="0.25">
      <c r="B22" s="648">
        <f t="shared" si="2"/>
        <v>0</v>
      </c>
      <c r="C22" s="624"/>
      <c r="D22" s="705"/>
      <c r="E22" s="806"/>
      <c r="F22" s="802">
        <f t="shared" si="0"/>
        <v>0</v>
      </c>
      <c r="G22" s="803"/>
      <c r="H22" s="804"/>
      <c r="I22" s="650">
        <f t="shared" si="1"/>
        <v>0</v>
      </c>
      <c r="J22" s="596">
        <f t="shared" si="4"/>
        <v>0</v>
      </c>
    </row>
    <row r="23" spans="1:10" x14ac:dyDescent="0.25">
      <c r="B23" s="648">
        <f t="shared" si="2"/>
        <v>0</v>
      </c>
      <c r="C23" s="624"/>
      <c r="D23" s="707"/>
      <c r="E23" s="924"/>
      <c r="F23" s="708">
        <f t="shared" si="0"/>
        <v>0</v>
      </c>
      <c r="G23" s="709"/>
      <c r="H23" s="710"/>
      <c r="I23" s="650">
        <f t="shared" si="1"/>
        <v>0</v>
      </c>
      <c r="J23" s="596">
        <f t="shared" si="4"/>
        <v>0</v>
      </c>
    </row>
    <row r="24" spans="1:10" x14ac:dyDescent="0.25">
      <c r="B24" s="648">
        <f t="shared" si="2"/>
        <v>0</v>
      </c>
      <c r="C24" s="624"/>
      <c r="D24" s="707"/>
      <c r="E24" s="924"/>
      <c r="F24" s="708">
        <f t="shared" si="0"/>
        <v>0</v>
      </c>
      <c r="G24" s="709"/>
      <c r="H24" s="710"/>
      <c r="I24" s="650">
        <f t="shared" si="1"/>
        <v>0</v>
      </c>
      <c r="J24" s="596">
        <f t="shared" si="4"/>
        <v>0</v>
      </c>
    </row>
    <row r="25" spans="1:10" x14ac:dyDescent="0.25">
      <c r="B25" s="648">
        <f t="shared" si="2"/>
        <v>0</v>
      </c>
      <c r="C25" s="624"/>
      <c r="D25" s="707"/>
      <c r="E25" s="924"/>
      <c r="F25" s="708">
        <f t="shared" si="0"/>
        <v>0</v>
      </c>
      <c r="G25" s="709"/>
      <c r="H25" s="710"/>
      <c r="I25" s="650">
        <f t="shared" si="1"/>
        <v>0</v>
      </c>
      <c r="J25" s="596">
        <f t="shared" si="4"/>
        <v>0</v>
      </c>
    </row>
    <row r="26" spans="1:10" x14ac:dyDescent="0.25">
      <c r="B26" s="648">
        <f t="shared" si="2"/>
        <v>0</v>
      </c>
      <c r="C26" s="624"/>
      <c r="D26" s="941"/>
      <c r="E26" s="939"/>
      <c r="F26" s="938">
        <f t="shared" si="0"/>
        <v>0</v>
      </c>
      <c r="G26" s="940"/>
      <c r="H26" s="937"/>
      <c r="I26" s="650">
        <f t="shared" si="1"/>
        <v>0</v>
      </c>
      <c r="J26" s="596">
        <f t="shared" si="4"/>
        <v>0</v>
      </c>
    </row>
    <row r="27" spans="1:10" x14ac:dyDescent="0.25">
      <c r="B27" s="648">
        <f t="shared" si="2"/>
        <v>0</v>
      </c>
      <c r="C27" s="624"/>
      <c r="D27" s="941"/>
      <c r="E27" s="939"/>
      <c r="F27" s="938">
        <f t="shared" si="0"/>
        <v>0</v>
      </c>
      <c r="G27" s="940"/>
      <c r="H27" s="937"/>
      <c r="I27" s="650">
        <f t="shared" si="1"/>
        <v>0</v>
      </c>
      <c r="J27" s="596">
        <f t="shared" si="4"/>
        <v>0</v>
      </c>
    </row>
    <row r="28" spans="1:10" x14ac:dyDescent="0.25">
      <c r="B28" s="648">
        <f t="shared" si="2"/>
        <v>0</v>
      </c>
      <c r="C28" s="624"/>
      <c r="D28" s="938"/>
      <c r="E28" s="939"/>
      <c r="F28" s="938">
        <f t="shared" si="0"/>
        <v>0</v>
      </c>
      <c r="G28" s="940"/>
      <c r="H28" s="937"/>
      <c r="I28" s="650">
        <f t="shared" si="1"/>
        <v>0</v>
      </c>
      <c r="J28" s="596">
        <f t="shared" si="4"/>
        <v>0</v>
      </c>
    </row>
    <row r="29" spans="1:10" x14ac:dyDescent="0.25">
      <c r="B29" s="648">
        <f t="shared" si="2"/>
        <v>0</v>
      </c>
      <c r="C29" s="624"/>
      <c r="D29" s="938"/>
      <c r="E29" s="939"/>
      <c r="F29" s="938">
        <f t="shared" si="0"/>
        <v>0</v>
      </c>
      <c r="G29" s="940"/>
      <c r="H29" s="937"/>
      <c r="I29" s="650">
        <f t="shared" ref="I29:I36" si="5">H29*F29</f>
        <v>0</v>
      </c>
      <c r="J29" s="596">
        <f t="shared" ref="J29:J36" si="6">J28-F29</f>
        <v>0</v>
      </c>
    </row>
    <row r="30" spans="1:10" x14ac:dyDescent="0.25">
      <c r="B30" s="648">
        <f t="shared" si="2"/>
        <v>0</v>
      </c>
      <c r="C30" s="624"/>
      <c r="D30" s="938"/>
      <c r="E30" s="939"/>
      <c r="F30" s="938">
        <f t="shared" si="0"/>
        <v>0</v>
      </c>
      <c r="G30" s="940"/>
      <c r="H30" s="937"/>
      <c r="I30" s="650">
        <f t="shared" si="5"/>
        <v>0</v>
      </c>
      <c r="J30" s="596">
        <f t="shared" si="6"/>
        <v>0</v>
      </c>
    </row>
    <row r="31" spans="1:10" x14ac:dyDescent="0.25">
      <c r="B31" s="648">
        <f t="shared" si="2"/>
        <v>0</v>
      </c>
      <c r="C31" s="624"/>
      <c r="D31" s="938"/>
      <c r="E31" s="939"/>
      <c r="F31" s="938">
        <f t="shared" si="0"/>
        <v>0</v>
      </c>
      <c r="G31" s="940"/>
      <c r="H31" s="937"/>
      <c r="I31" s="650">
        <f t="shared" si="5"/>
        <v>0</v>
      </c>
      <c r="J31" s="596">
        <f t="shared" si="6"/>
        <v>0</v>
      </c>
    </row>
    <row r="32" spans="1:10" x14ac:dyDescent="0.25">
      <c r="B32" s="648">
        <f t="shared" si="2"/>
        <v>0</v>
      </c>
      <c r="C32" s="624"/>
      <c r="D32" s="938"/>
      <c r="E32" s="939"/>
      <c r="F32" s="938">
        <f t="shared" si="0"/>
        <v>0</v>
      </c>
      <c r="G32" s="940"/>
      <c r="H32" s="937"/>
      <c r="I32" s="650">
        <f t="shared" si="5"/>
        <v>0</v>
      </c>
      <c r="J32" s="596">
        <f t="shared" si="6"/>
        <v>0</v>
      </c>
    </row>
    <row r="33" spans="2:10" x14ac:dyDescent="0.25">
      <c r="B33" s="648">
        <f t="shared" si="2"/>
        <v>0</v>
      </c>
      <c r="C33" s="624"/>
      <c r="D33" s="938"/>
      <c r="E33" s="939"/>
      <c r="F33" s="938">
        <f t="shared" si="0"/>
        <v>0</v>
      </c>
      <c r="G33" s="940"/>
      <c r="H33" s="937"/>
      <c r="I33" s="650">
        <f t="shared" si="5"/>
        <v>0</v>
      </c>
      <c r="J33" s="596">
        <f t="shared" si="6"/>
        <v>0</v>
      </c>
    </row>
    <row r="34" spans="2:10" x14ac:dyDescent="0.25">
      <c r="B34" s="648">
        <f t="shared" si="2"/>
        <v>0</v>
      </c>
      <c r="C34" s="624"/>
      <c r="D34" s="938"/>
      <c r="E34" s="939"/>
      <c r="F34" s="938">
        <f t="shared" si="0"/>
        <v>0</v>
      </c>
      <c r="G34" s="940"/>
      <c r="H34" s="937"/>
      <c r="I34" s="650">
        <f t="shared" si="5"/>
        <v>0</v>
      </c>
      <c r="J34" s="596">
        <f t="shared" si="6"/>
        <v>0</v>
      </c>
    </row>
    <row r="35" spans="2:10" x14ac:dyDescent="0.25">
      <c r="B35" s="648">
        <f t="shared" si="2"/>
        <v>0</v>
      </c>
      <c r="C35" s="624"/>
      <c r="D35" s="938"/>
      <c r="E35" s="939"/>
      <c r="F35" s="938">
        <f t="shared" si="0"/>
        <v>0</v>
      </c>
      <c r="G35" s="940"/>
      <c r="H35" s="937"/>
      <c r="I35" s="650">
        <f t="shared" si="5"/>
        <v>0</v>
      </c>
      <c r="J35" s="596">
        <f t="shared" si="6"/>
        <v>0</v>
      </c>
    </row>
    <row r="36" spans="2:10" x14ac:dyDescent="0.25">
      <c r="B36" s="648">
        <f t="shared" si="2"/>
        <v>0</v>
      </c>
      <c r="C36" s="624"/>
      <c r="D36" s="938"/>
      <c r="E36" s="939"/>
      <c r="F36" s="938">
        <f t="shared" si="0"/>
        <v>0</v>
      </c>
      <c r="G36" s="940"/>
      <c r="H36" s="937"/>
      <c r="I36" s="650">
        <f t="shared" si="5"/>
        <v>0</v>
      </c>
      <c r="J36" s="596">
        <f t="shared" si="6"/>
        <v>0</v>
      </c>
    </row>
    <row r="37" spans="2:10" ht="15.75" thickBot="1" x14ac:dyDescent="0.3">
      <c r="B37" s="648">
        <f t="shared" si="2"/>
        <v>0</v>
      </c>
      <c r="C37" s="651"/>
      <c r="D37" s="725">
        <f t="shared" ref="D37" si="7">C37*B37</f>
        <v>0</v>
      </c>
      <c r="E37" s="726"/>
      <c r="F37" s="725">
        <f t="shared" si="0"/>
        <v>0</v>
      </c>
      <c r="G37" s="727"/>
      <c r="H37" s="1006"/>
      <c r="I37" s="652">
        <f t="shared" si="1"/>
        <v>0</v>
      </c>
      <c r="J37" s="596">
        <f t="shared" si="4"/>
        <v>0</v>
      </c>
    </row>
    <row r="38" spans="2:10" ht="16.5" thickTop="1" x14ac:dyDescent="0.25">
      <c r="B38" s="594"/>
      <c r="C38" s="624">
        <f>SUM(C9:C37)</f>
        <v>0</v>
      </c>
      <c r="D38" s="653">
        <f>SUM(D9:D37)</f>
        <v>0</v>
      </c>
      <c r="E38" s="654"/>
      <c r="F38" s="565">
        <f>SUM(F9:F37)</f>
        <v>0</v>
      </c>
      <c r="G38" s="655"/>
      <c r="H38" s="652"/>
      <c r="I38" s="656">
        <f>SUM(I9:I37)</f>
        <v>0</v>
      </c>
      <c r="J38" s="594"/>
    </row>
    <row r="39" spans="2:10" ht="15.75" thickBot="1" x14ac:dyDescent="0.3">
      <c r="B39" s="594"/>
      <c r="C39" s="624"/>
      <c r="D39" s="657"/>
      <c r="E39" s="654"/>
      <c r="F39" s="657"/>
      <c r="G39" s="655"/>
      <c r="H39" s="652"/>
      <c r="I39" s="594"/>
      <c r="J39" s="594"/>
    </row>
    <row r="40" spans="2:10" x14ac:dyDescent="0.25">
      <c r="B40" s="594"/>
      <c r="C40" s="658" t="s">
        <v>4</v>
      </c>
      <c r="D40" s="659">
        <f>F4+F5+F6+F7-C38</f>
        <v>0</v>
      </c>
      <c r="E40" s="660"/>
      <c r="F40" s="657"/>
      <c r="G40" s="655"/>
      <c r="H40" s="652"/>
      <c r="I40" s="594"/>
      <c r="J40" s="594"/>
    </row>
    <row r="41" spans="2:10" x14ac:dyDescent="0.25">
      <c r="B41" s="594"/>
      <c r="C41" s="1734" t="s">
        <v>19</v>
      </c>
      <c r="D41" s="1735"/>
      <c r="E41" s="661">
        <f>E4+E5+E6+E7-F38</f>
        <v>0</v>
      </c>
      <c r="F41" s="657"/>
      <c r="G41" s="657"/>
      <c r="H41" s="652"/>
      <c r="I41" s="594"/>
      <c r="J41" s="59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68" t="s">
        <v>336</v>
      </c>
      <c r="B1" s="1668"/>
      <c r="C1" s="1668"/>
      <c r="D1" s="1668"/>
      <c r="E1" s="1668"/>
      <c r="F1" s="1668"/>
      <c r="G1" s="166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357"/>
      <c r="B4" s="140"/>
      <c r="C4" s="507"/>
      <c r="D4" s="130"/>
      <c r="E4" s="1163"/>
      <c r="F4" s="664"/>
    </row>
    <row r="5" spans="1:10" ht="24.75" customHeight="1" x14ac:dyDescent="0.25">
      <c r="A5" s="1743" t="s">
        <v>351</v>
      </c>
      <c r="B5" s="1738" t="s">
        <v>103</v>
      </c>
      <c r="C5" s="928">
        <v>66</v>
      </c>
      <c r="D5" s="600">
        <v>45122</v>
      </c>
      <c r="E5" s="1162">
        <v>3885.25</v>
      </c>
      <c r="F5" s="849">
        <v>137</v>
      </c>
      <c r="G5" s="143">
        <f>F99</f>
        <v>8955.93</v>
      </c>
      <c r="H5" s="57">
        <f>E4+E5+E8-G5+E6</f>
        <v>0</v>
      </c>
    </row>
    <row r="6" spans="1:10" ht="24.75" customHeight="1" x14ac:dyDescent="0.25">
      <c r="A6" s="1743"/>
      <c r="B6" s="1739"/>
      <c r="C6" s="212">
        <v>68</v>
      </c>
      <c r="D6" s="130">
        <v>45127</v>
      </c>
      <c r="E6" s="1163">
        <v>5070.68</v>
      </c>
      <c r="F6" s="226">
        <v>175</v>
      </c>
      <c r="G6" s="143"/>
      <c r="H6" s="57"/>
    </row>
    <row r="7" spans="1:10" ht="24.75" customHeight="1" thickBot="1" x14ac:dyDescent="0.3">
      <c r="A7" s="1743"/>
      <c r="B7" s="1739"/>
      <c r="C7" s="488"/>
      <c r="D7" s="326"/>
      <c r="E7" s="1164"/>
      <c r="F7" s="227"/>
      <c r="G7" s="143"/>
      <c r="H7" s="57"/>
    </row>
    <row r="8" spans="1:10" ht="24.75" customHeight="1" thickTop="1" thickBot="1" x14ac:dyDescent="0.3">
      <c r="A8" s="1358"/>
      <c r="B8" s="1740"/>
      <c r="C8" s="488"/>
      <c r="D8" s="130"/>
      <c r="E8" s="1163"/>
      <c r="F8" s="226"/>
      <c r="I8" s="1741" t="s">
        <v>3</v>
      </c>
      <c r="J8" s="1736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42"/>
      <c r="J9" s="1737"/>
    </row>
    <row r="10" spans="1:10" ht="15.75" thickTop="1" x14ac:dyDescent="0.25">
      <c r="A10" s="79" t="s">
        <v>32</v>
      </c>
      <c r="B10" s="82"/>
      <c r="C10" s="15">
        <v>80</v>
      </c>
      <c r="D10" s="168">
        <v>2230.88</v>
      </c>
      <c r="E10" s="232">
        <v>45122</v>
      </c>
      <c r="F10" s="68">
        <f t="shared" ref="F10:F15" si="0">D10</f>
        <v>2230.88</v>
      </c>
      <c r="G10" s="563" t="s">
        <v>607</v>
      </c>
      <c r="H10" s="577">
        <v>68</v>
      </c>
      <c r="I10" s="197">
        <f>E5+E4-F10+E8+E6+E7</f>
        <v>6725.05</v>
      </c>
      <c r="J10" s="123">
        <f>F4+F5+F8-C10+F6+F7</f>
        <v>232</v>
      </c>
    </row>
    <row r="11" spans="1:10" x14ac:dyDescent="0.25">
      <c r="A11" s="185"/>
      <c r="B11" s="82"/>
      <c r="C11" s="15">
        <v>57</v>
      </c>
      <c r="D11" s="168">
        <v>1654.37</v>
      </c>
      <c r="E11" s="232">
        <v>45122</v>
      </c>
      <c r="F11" s="68">
        <f t="shared" si="0"/>
        <v>1654.37</v>
      </c>
      <c r="G11" s="563" t="s">
        <v>609</v>
      </c>
      <c r="H11" s="577">
        <v>68</v>
      </c>
      <c r="I11" s="197">
        <f>I10-F11</f>
        <v>5070.68</v>
      </c>
      <c r="J11" s="123">
        <f>J10-C11</f>
        <v>175</v>
      </c>
    </row>
    <row r="12" spans="1:10" x14ac:dyDescent="0.25">
      <c r="A12" s="174"/>
      <c r="B12" s="82"/>
      <c r="C12" s="15">
        <v>175</v>
      </c>
      <c r="D12" s="168">
        <v>5070.68</v>
      </c>
      <c r="E12" s="232">
        <v>45127</v>
      </c>
      <c r="F12" s="68">
        <f t="shared" si="0"/>
        <v>5070.68</v>
      </c>
      <c r="G12" s="563" t="s">
        <v>655</v>
      </c>
      <c r="H12" s="577">
        <v>70</v>
      </c>
      <c r="I12" s="197">
        <f t="shared" ref="I12:I42" si="1">I11-F12</f>
        <v>0</v>
      </c>
      <c r="J12" s="123">
        <f t="shared" ref="J12:J60" si="2">J11-C12</f>
        <v>0</v>
      </c>
    </row>
    <row r="13" spans="1:10" x14ac:dyDescent="0.25">
      <c r="A13" s="81" t="s">
        <v>33</v>
      </c>
      <c r="B13" s="82"/>
      <c r="C13" s="15"/>
      <c r="D13" s="168"/>
      <c r="E13" s="232"/>
      <c r="F13" s="68">
        <f t="shared" si="0"/>
        <v>0</v>
      </c>
      <c r="G13" s="563"/>
      <c r="H13" s="577"/>
      <c r="I13" s="197">
        <f t="shared" si="1"/>
        <v>0</v>
      </c>
      <c r="J13" s="123">
        <f t="shared" si="2"/>
        <v>0</v>
      </c>
    </row>
    <row r="14" spans="1:10" x14ac:dyDescent="0.25">
      <c r="A14" s="1155"/>
      <c r="B14" s="82"/>
      <c r="C14" s="15"/>
      <c r="D14" s="1300"/>
      <c r="E14" s="643"/>
      <c r="F14" s="1518">
        <f t="shared" si="0"/>
        <v>0</v>
      </c>
      <c r="G14" s="1519"/>
      <c r="H14" s="1530"/>
      <c r="I14" s="1498">
        <f t="shared" si="1"/>
        <v>0</v>
      </c>
      <c r="J14" s="1499">
        <f t="shared" si="2"/>
        <v>0</v>
      </c>
    </row>
    <row r="15" spans="1:10" x14ac:dyDescent="0.25">
      <c r="A15" s="1155"/>
      <c r="B15" s="82"/>
      <c r="C15" s="15"/>
      <c r="D15" s="1300"/>
      <c r="E15" s="640"/>
      <c r="F15" s="1518">
        <f t="shared" si="0"/>
        <v>0</v>
      </c>
      <c r="G15" s="1519"/>
      <c r="H15" s="1530"/>
      <c r="I15" s="1498">
        <f t="shared" si="1"/>
        <v>0</v>
      </c>
      <c r="J15" s="1499">
        <f t="shared" si="2"/>
        <v>0</v>
      </c>
    </row>
    <row r="16" spans="1:10" x14ac:dyDescent="0.25">
      <c r="B16" s="82"/>
      <c r="C16" s="15"/>
      <c r="D16" s="1300"/>
      <c r="E16" s="640"/>
      <c r="F16" s="1518">
        <f>D16</f>
        <v>0</v>
      </c>
      <c r="G16" s="1519"/>
      <c r="H16" s="1530"/>
      <c r="I16" s="1498">
        <f t="shared" si="1"/>
        <v>0</v>
      </c>
      <c r="J16" s="1499">
        <f t="shared" si="2"/>
        <v>0</v>
      </c>
    </row>
    <row r="17" spans="1:10" x14ac:dyDescent="0.25">
      <c r="B17" s="82"/>
      <c r="C17" s="15"/>
      <c r="D17" s="1300"/>
      <c r="E17" s="640"/>
      <c r="F17" s="1518">
        <f>D17</f>
        <v>0</v>
      </c>
      <c r="G17" s="1519"/>
      <c r="H17" s="1530"/>
      <c r="I17" s="1498">
        <f t="shared" si="1"/>
        <v>0</v>
      </c>
      <c r="J17" s="1499">
        <f t="shared" si="2"/>
        <v>0</v>
      </c>
    </row>
    <row r="18" spans="1:10" x14ac:dyDescent="0.25">
      <c r="A18" s="80"/>
      <c r="B18" s="82"/>
      <c r="C18" s="15"/>
      <c r="D18" s="1300"/>
      <c r="E18" s="646"/>
      <c r="F18" s="1518">
        <f>D18</f>
        <v>0</v>
      </c>
      <c r="G18" s="1519"/>
      <c r="H18" s="1530"/>
      <c r="I18" s="1498">
        <f t="shared" si="1"/>
        <v>0</v>
      </c>
      <c r="J18" s="1499">
        <f t="shared" si="2"/>
        <v>0</v>
      </c>
    </row>
    <row r="19" spans="1:10" x14ac:dyDescent="0.25">
      <c r="A19" s="82"/>
      <c r="B19" s="82"/>
      <c r="C19" s="15"/>
      <c r="D19" s="1300"/>
      <c r="E19" s="646"/>
      <c r="F19" s="565">
        <f t="shared" ref="F19:F43" si="3">D19</f>
        <v>0</v>
      </c>
      <c r="G19" s="838"/>
      <c r="H19" s="577"/>
      <c r="I19" s="713">
        <f t="shared" si="1"/>
        <v>0</v>
      </c>
      <c r="J19" s="723">
        <f t="shared" si="2"/>
        <v>0</v>
      </c>
    </row>
    <row r="20" spans="1:10" x14ac:dyDescent="0.25">
      <c r="A20" s="2"/>
      <c r="B20" s="82"/>
      <c r="C20" s="15"/>
      <c r="D20" s="1300"/>
      <c r="E20" s="646"/>
      <c r="F20" s="565">
        <f t="shared" si="3"/>
        <v>0</v>
      </c>
      <c r="G20" s="563"/>
      <c r="H20" s="577"/>
      <c r="I20" s="713">
        <f t="shared" si="1"/>
        <v>0</v>
      </c>
      <c r="J20" s="723">
        <f t="shared" si="2"/>
        <v>0</v>
      </c>
    </row>
    <row r="21" spans="1:10" x14ac:dyDescent="0.25">
      <c r="A21" s="2"/>
      <c r="B21" s="82"/>
      <c r="C21" s="15"/>
      <c r="D21" s="1300"/>
      <c r="E21" s="646"/>
      <c r="F21" s="565">
        <f t="shared" si="3"/>
        <v>0</v>
      </c>
      <c r="G21" s="563"/>
      <c r="H21" s="577"/>
      <c r="I21" s="713">
        <f t="shared" si="1"/>
        <v>0</v>
      </c>
      <c r="J21" s="723">
        <f t="shared" si="2"/>
        <v>0</v>
      </c>
    </row>
    <row r="22" spans="1:10" x14ac:dyDescent="0.25">
      <c r="A22" s="2"/>
      <c r="B22" s="82"/>
      <c r="C22" s="15"/>
      <c r="D22" s="1300"/>
      <c r="E22" s="640"/>
      <c r="F22" s="565">
        <f t="shared" si="3"/>
        <v>0</v>
      </c>
      <c r="G22" s="563"/>
      <c r="H22" s="577"/>
      <c r="I22" s="713">
        <f t="shared" si="1"/>
        <v>0</v>
      </c>
      <c r="J22" s="723">
        <f t="shared" si="2"/>
        <v>0</v>
      </c>
    </row>
    <row r="23" spans="1:10" x14ac:dyDescent="0.25">
      <c r="A23" s="2"/>
      <c r="B23" s="82"/>
      <c r="C23" s="15"/>
      <c r="D23" s="1300"/>
      <c r="E23" s="640"/>
      <c r="F23" s="565">
        <f t="shared" si="3"/>
        <v>0</v>
      </c>
      <c r="G23" s="563"/>
      <c r="H23" s="577"/>
      <c r="I23" s="713">
        <f t="shared" si="1"/>
        <v>0</v>
      </c>
      <c r="J23" s="723">
        <f t="shared" si="2"/>
        <v>0</v>
      </c>
    </row>
    <row r="24" spans="1:10" x14ac:dyDescent="0.25">
      <c r="A24" s="2"/>
      <c r="B24" s="82"/>
      <c r="C24" s="15"/>
      <c r="D24" s="168"/>
      <c r="E24" s="640"/>
      <c r="F24" s="565">
        <f t="shared" si="3"/>
        <v>0</v>
      </c>
      <c r="G24" s="563"/>
      <c r="H24" s="577"/>
      <c r="I24" s="713">
        <f t="shared" si="1"/>
        <v>0</v>
      </c>
      <c r="J24" s="723">
        <f t="shared" si="2"/>
        <v>0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0</v>
      </c>
      <c r="J31" s="123">
        <f t="shared" si="2"/>
        <v>0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0</v>
      </c>
      <c r="J32" s="123">
        <f t="shared" si="2"/>
        <v>0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0</v>
      </c>
      <c r="J59" s="123">
        <f t="shared" si="2"/>
        <v>0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0</v>
      </c>
      <c r="J60" s="123">
        <f t="shared" si="2"/>
        <v>0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0</v>
      </c>
      <c r="J95" s="123">
        <f>J60-C95</f>
        <v>0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0</v>
      </c>
      <c r="J96" s="123">
        <f t="shared" ref="J96" si="7">J95-C96</f>
        <v>0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0</v>
      </c>
      <c r="J97" s="123">
        <f>J43-C97</f>
        <v>0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155"/>
    </row>
    <row r="99" spans="1:10" ht="16.5" thickTop="1" thickBot="1" x14ac:dyDescent="0.3">
      <c r="C99" s="89">
        <f>SUM(C10:C98)</f>
        <v>312</v>
      </c>
      <c r="D99" s="48">
        <f>SUM(D10:D98)</f>
        <v>8955.93</v>
      </c>
      <c r="E99" s="38"/>
      <c r="F99" s="5">
        <f>SUM(F10:F98)</f>
        <v>8955.93</v>
      </c>
      <c r="J99" s="1155"/>
    </row>
    <row r="100" spans="1:10" ht="15.75" thickBot="1" x14ac:dyDescent="0.3">
      <c r="A100" s="51"/>
      <c r="D100" s="110" t="s">
        <v>4</v>
      </c>
      <c r="E100" s="67">
        <f>F4+F5+F8-+C99</f>
        <v>-175</v>
      </c>
      <c r="J100" s="1155"/>
    </row>
    <row r="101" spans="1:10" ht="15.75" thickBot="1" x14ac:dyDescent="0.3">
      <c r="A101" s="115"/>
    </row>
    <row r="102" spans="1:10" ht="16.5" thickTop="1" thickBot="1" x14ac:dyDescent="0.3">
      <c r="A102" s="47"/>
      <c r="C102" s="1716" t="s">
        <v>11</v>
      </c>
      <c r="D102" s="1717"/>
      <c r="E102" s="141">
        <f>E5+E4+E8+-F99</f>
        <v>-5070.68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27" activePane="bottomLeft" state="frozen"/>
      <selection pane="bottomLeft" activeCell="F41" sqref="F4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46" t="s">
        <v>323</v>
      </c>
      <c r="B1" s="1746"/>
      <c r="C1" s="1746"/>
      <c r="D1" s="1746"/>
      <c r="E1" s="1746"/>
      <c r="F1" s="1746"/>
      <c r="G1" s="1746"/>
      <c r="H1" s="1746"/>
      <c r="I1" s="174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>
        <v>65</v>
      </c>
      <c r="D4" s="578">
        <v>45062</v>
      </c>
      <c r="E4" s="1025">
        <v>3332.04</v>
      </c>
      <c r="F4" s="1026">
        <v>125</v>
      </c>
      <c r="G4" s="1016"/>
    </row>
    <row r="5" spans="1:10" ht="15" customHeight="1" x14ac:dyDescent="0.25">
      <c r="A5" s="1747" t="s">
        <v>117</v>
      </c>
      <c r="B5" s="1748" t="s">
        <v>76</v>
      </c>
      <c r="C5" s="665">
        <v>65</v>
      </c>
      <c r="D5" s="578">
        <v>45070</v>
      </c>
      <c r="E5" s="1025">
        <v>1317.86</v>
      </c>
      <c r="F5" s="1026">
        <v>58</v>
      </c>
      <c r="G5" s="143">
        <f>F102</f>
        <v>4647.5700000000006</v>
      </c>
      <c r="H5" s="57">
        <f>E4+E5+E6-G5+E7+E8</f>
        <v>2.3299999999990177</v>
      </c>
    </row>
    <row r="6" spans="1:10" ht="16.5" customHeight="1" x14ac:dyDescent="0.25">
      <c r="A6" s="1747"/>
      <c r="B6" s="1749"/>
      <c r="C6" s="665"/>
      <c r="D6" s="578"/>
      <c r="E6" s="1025"/>
      <c r="F6" s="1026"/>
      <c r="G6" s="1016"/>
    </row>
    <row r="7" spans="1:10" ht="15.75" customHeight="1" thickBot="1" x14ac:dyDescent="0.35">
      <c r="A7" s="1747"/>
      <c r="B7" s="1750"/>
      <c r="C7" s="665"/>
      <c r="D7" s="578"/>
      <c r="E7" s="1025"/>
      <c r="F7" s="1026"/>
      <c r="G7" s="1016"/>
      <c r="I7" s="350"/>
      <c r="J7" s="350"/>
    </row>
    <row r="8" spans="1:10" ht="16.5" customHeight="1" thickTop="1" thickBot="1" x14ac:dyDescent="0.3">
      <c r="A8" s="912"/>
      <c r="B8" s="913"/>
      <c r="C8" s="665"/>
      <c r="D8" s="578"/>
      <c r="E8" s="1027"/>
      <c r="F8" s="723"/>
      <c r="G8" s="576"/>
      <c r="H8" s="594"/>
      <c r="I8" s="1751" t="s">
        <v>47</v>
      </c>
      <c r="J8" s="1744" t="s">
        <v>4</v>
      </c>
    </row>
    <row r="9" spans="1:10" ht="16.5" customHeight="1" thickTop="1" thickBot="1" x14ac:dyDescent="0.3">
      <c r="A9" s="914"/>
      <c r="B9" s="790" t="s">
        <v>7</v>
      </c>
      <c r="C9" s="915" t="s">
        <v>8</v>
      </c>
      <c r="D9" s="916" t="s">
        <v>3</v>
      </c>
      <c r="E9" s="917" t="s">
        <v>2</v>
      </c>
      <c r="F9" s="918" t="s">
        <v>9</v>
      </c>
      <c r="G9" s="919" t="s">
        <v>15</v>
      </c>
      <c r="H9" s="920"/>
      <c r="I9" s="1752"/>
      <c r="J9" s="1745"/>
    </row>
    <row r="10" spans="1:10" ht="15.75" thickTop="1" x14ac:dyDescent="0.25">
      <c r="A10" s="840"/>
      <c r="B10" s="676"/>
      <c r="C10" s="624">
        <v>45</v>
      </c>
      <c r="D10" s="837">
        <v>1107.1400000000001</v>
      </c>
      <c r="E10" s="643">
        <v>45063</v>
      </c>
      <c r="F10" s="565">
        <f t="shared" ref="F10" si="0">D10</f>
        <v>1107.1400000000001</v>
      </c>
      <c r="G10" s="563" t="s">
        <v>166</v>
      </c>
      <c r="H10" s="564">
        <v>67</v>
      </c>
      <c r="I10" s="713">
        <f>E4+E5+E6-F10+E7+E8</f>
        <v>3542.7599999999993</v>
      </c>
      <c r="J10" s="723">
        <f>F4+F5+F6+F7-C10+F8</f>
        <v>138</v>
      </c>
    </row>
    <row r="11" spans="1:10" x14ac:dyDescent="0.25">
      <c r="A11" s="840"/>
      <c r="B11" s="676"/>
      <c r="C11" s="624">
        <v>4</v>
      </c>
      <c r="D11" s="837">
        <v>113.1</v>
      </c>
      <c r="E11" s="643">
        <v>45066</v>
      </c>
      <c r="F11" s="565">
        <f>D11</f>
        <v>113.1</v>
      </c>
      <c r="G11" s="563" t="s">
        <v>171</v>
      </c>
      <c r="H11" s="520">
        <v>61</v>
      </c>
      <c r="I11" s="713">
        <f>I10-F11</f>
        <v>3429.6599999999994</v>
      </c>
      <c r="J11" s="723">
        <f>J10-C11</f>
        <v>134</v>
      </c>
    </row>
    <row r="12" spans="1:10" x14ac:dyDescent="0.25">
      <c r="A12" s="921" t="s">
        <v>32</v>
      </c>
      <c r="B12" s="676"/>
      <c r="C12" s="624">
        <v>10</v>
      </c>
      <c r="D12" s="837">
        <v>249.26</v>
      </c>
      <c r="E12" s="640">
        <v>45070</v>
      </c>
      <c r="F12" s="565">
        <f>D12</f>
        <v>249.26</v>
      </c>
      <c r="G12" s="563" t="s">
        <v>178</v>
      </c>
      <c r="H12" s="564">
        <v>67</v>
      </c>
      <c r="I12" s="713">
        <f t="shared" ref="I12:I75" si="1">I11-F12</f>
        <v>3180.3999999999996</v>
      </c>
      <c r="J12" s="723">
        <f t="shared" ref="J12:J75" si="2">J11-C12</f>
        <v>124</v>
      </c>
    </row>
    <row r="13" spans="1:10" x14ac:dyDescent="0.25">
      <c r="A13" s="922"/>
      <c r="B13" s="676"/>
      <c r="C13" s="624">
        <v>5</v>
      </c>
      <c r="D13" s="837">
        <v>98.86</v>
      </c>
      <c r="E13" s="646">
        <v>45073</v>
      </c>
      <c r="F13" s="565">
        <f t="shared" ref="F13:F76" si="3">D13</f>
        <v>98.86</v>
      </c>
      <c r="G13" s="563" t="s">
        <v>177</v>
      </c>
      <c r="H13" s="564">
        <v>67</v>
      </c>
      <c r="I13" s="713">
        <f t="shared" si="1"/>
        <v>3081.5399999999995</v>
      </c>
      <c r="J13" s="723">
        <f t="shared" si="2"/>
        <v>119</v>
      </c>
    </row>
    <row r="14" spans="1:10" x14ac:dyDescent="0.25">
      <c r="A14" s="676"/>
      <c r="B14" s="676"/>
      <c r="C14" s="624">
        <v>10</v>
      </c>
      <c r="D14" s="837">
        <v>196.35</v>
      </c>
      <c r="E14" s="646">
        <v>45073</v>
      </c>
      <c r="F14" s="565">
        <f t="shared" si="3"/>
        <v>196.35</v>
      </c>
      <c r="G14" s="563" t="s">
        <v>181</v>
      </c>
      <c r="H14" s="564">
        <v>67</v>
      </c>
      <c r="I14" s="713">
        <f t="shared" si="1"/>
        <v>2885.1899999999996</v>
      </c>
      <c r="J14" s="723">
        <f t="shared" si="2"/>
        <v>109</v>
      </c>
    </row>
    <row r="15" spans="1:10" x14ac:dyDescent="0.25">
      <c r="A15" s="923" t="s">
        <v>33</v>
      </c>
      <c r="B15" s="676"/>
      <c r="C15" s="624">
        <v>8</v>
      </c>
      <c r="D15" s="837">
        <v>208.65</v>
      </c>
      <c r="E15" s="646">
        <v>45075</v>
      </c>
      <c r="F15" s="565">
        <f t="shared" si="3"/>
        <v>208.65</v>
      </c>
      <c r="G15" s="563" t="s">
        <v>184</v>
      </c>
      <c r="H15" s="564">
        <v>67</v>
      </c>
      <c r="I15" s="713">
        <f t="shared" si="1"/>
        <v>2676.5399999999995</v>
      </c>
      <c r="J15" s="723">
        <f t="shared" si="2"/>
        <v>101</v>
      </c>
    </row>
    <row r="16" spans="1:10" x14ac:dyDescent="0.25">
      <c r="A16" s="922"/>
      <c r="B16" s="676"/>
      <c r="C16" s="624">
        <v>1</v>
      </c>
      <c r="D16" s="837">
        <v>29.56</v>
      </c>
      <c r="E16" s="640">
        <v>45076</v>
      </c>
      <c r="F16" s="565">
        <f t="shared" si="3"/>
        <v>29.56</v>
      </c>
      <c r="G16" s="563" t="s">
        <v>186</v>
      </c>
      <c r="H16" s="564">
        <v>67</v>
      </c>
      <c r="I16" s="713">
        <f t="shared" si="1"/>
        <v>2646.9799999999996</v>
      </c>
      <c r="J16" s="723">
        <f t="shared" si="2"/>
        <v>100</v>
      </c>
    </row>
    <row r="17" spans="1:10" x14ac:dyDescent="0.25">
      <c r="A17" s="676"/>
      <c r="B17" s="676"/>
      <c r="C17" s="624">
        <v>3</v>
      </c>
      <c r="D17" s="837">
        <v>83.54</v>
      </c>
      <c r="E17" s="646">
        <v>45076</v>
      </c>
      <c r="F17" s="565">
        <f t="shared" si="3"/>
        <v>83.54</v>
      </c>
      <c r="G17" s="563" t="s">
        <v>187</v>
      </c>
      <c r="H17" s="564">
        <v>67</v>
      </c>
      <c r="I17" s="713">
        <f t="shared" si="1"/>
        <v>2563.4399999999996</v>
      </c>
      <c r="J17" s="723">
        <f t="shared" si="2"/>
        <v>97</v>
      </c>
    </row>
    <row r="18" spans="1:10" x14ac:dyDescent="0.25">
      <c r="A18" s="840"/>
      <c r="B18" s="676"/>
      <c r="C18" s="624">
        <v>4</v>
      </c>
      <c r="D18" s="837">
        <v>106.8</v>
      </c>
      <c r="E18" s="646">
        <v>45077</v>
      </c>
      <c r="F18" s="565">
        <f t="shared" si="3"/>
        <v>106.8</v>
      </c>
      <c r="G18" s="838" t="s">
        <v>191</v>
      </c>
      <c r="H18" s="564">
        <v>67</v>
      </c>
      <c r="I18" s="713">
        <f t="shared" si="1"/>
        <v>2456.6399999999994</v>
      </c>
      <c r="J18" s="723">
        <f t="shared" si="2"/>
        <v>93</v>
      </c>
    </row>
    <row r="19" spans="1:10" x14ac:dyDescent="0.25">
      <c r="A19" s="840"/>
      <c r="B19" s="676"/>
      <c r="C19" s="704">
        <v>8</v>
      </c>
      <c r="D19" s="837">
        <v>229.21</v>
      </c>
      <c r="E19" s="646">
        <v>45082</v>
      </c>
      <c r="F19" s="565">
        <f t="shared" si="3"/>
        <v>229.21</v>
      </c>
      <c r="G19" s="563" t="s">
        <v>199</v>
      </c>
      <c r="H19" s="564">
        <v>67</v>
      </c>
      <c r="I19" s="637">
        <f t="shared" si="1"/>
        <v>2227.4299999999994</v>
      </c>
      <c r="J19" s="638">
        <f t="shared" si="2"/>
        <v>85</v>
      </c>
    </row>
    <row r="20" spans="1:10" x14ac:dyDescent="0.25">
      <c r="A20" s="840"/>
      <c r="B20" s="676"/>
      <c r="C20" s="624"/>
      <c r="D20" s="837">
        <v>0</v>
      </c>
      <c r="E20" s="640">
        <v>0</v>
      </c>
      <c r="F20" s="565">
        <f t="shared" si="3"/>
        <v>0</v>
      </c>
      <c r="G20" s="563">
        <v>0</v>
      </c>
      <c r="H20" s="564">
        <v>0</v>
      </c>
      <c r="I20" s="713">
        <f t="shared" si="1"/>
        <v>2227.4299999999994</v>
      </c>
      <c r="J20" s="723">
        <f t="shared" si="2"/>
        <v>85</v>
      </c>
    </row>
    <row r="21" spans="1:10" x14ac:dyDescent="0.25">
      <c r="A21" s="840"/>
      <c r="B21" s="676"/>
      <c r="C21" s="624">
        <v>2</v>
      </c>
      <c r="D21" s="1185">
        <v>48.2</v>
      </c>
      <c r="E21" s="1186">
        <v>45083</v>
      </c>
      <c r="F21" s="1187">
        <f t="shared" si="3"/>
        <v>48.2</v>
      </c>
      <c r="G21" s="1188" t="s">
        <v>204</v>
      </c>
      <c r="H21" s="1189">
        <v>67</v>
      </c>
      <c r="I21" s="713">
        <f t="shared" si="1"/>
        <v>2179.2299999999996</v>
      </c>
      <c r="J21" s="723">
        <f t="shared" si="2"/>
        <v>83</v>
      </c>
    </row>
    <row r="22" spans="1:10" x14ac:dyDescent="0.25">
      <c r="A22" s="840"/>
      <c r="B22" s="676"/>
      <c r="C22" s="624">
        <v>4</v>
      </c>
      <c r="D22" s="1185">
        <v>106.57</v>
      </c>
      <c r="E22" s="1190">
        <v>45084</v>
      </c>
      <c r="F22" s="1187">
        <f t="shared" si="3"/>
        <v>106.57</v>
      </c>
      <c r="G22" s="1188" t="s">
        <v>206</v>
      </c>
      <c r="H22" s="1189">
        <v>67</v>
      </c>
      <c r="I22" s="713">
        <f t="shared" si="1"/>
        <v>2072.6599999999994</v>
      </c>
      <c r="J22" s="723">
        <f t="shared" si="2"/>
        <v>79</v>
      </c>
    </row>
    <row r="23" spans="1:10" x14ac:dyDescent="0.25">
      <c r="A23" s="840"/>
      <c r="B23" s="676"/>
      <c r="C23" s="624">
        <v>5</v>
      </c>
      <c r="D23" s="1185">
        <v>116.08</v>
      </c>
      <c r="E23" s="1190">
        <v>45087</v>
      </c>
      <c r="F23" s="1187">
        <f t="shared" si="3"/>
        <v>116.08</v>
      </c>
      <c r="G23" s="1188" t="s">
        <v>213</v>
      </c>
      <c r="H23" s="1189">
        <v>67</v>
      </c>
      <c r="I23" s="713">
        <f t="shared" si="1"/>
        <v>1956.5799999999995</v>
      </c>
      <c r="J23" s="723">
        <f t="shared" si="2"/>
        <v>74</v>
      </c>
    </row>
    <row r="24" spans="1:10" x14ac:dyDescent="0.25">
      <c r="A24" s="840"/>
      <c r="B24" s="676"/>
      <c r="C24" s="624">
        <v>7</v>
      </c>
      <c r="D24" s="1185">
        <v>155.38</v>
      </c>
      <c r="E24" s="1190">
        <v>45091</v>
      </c>
      <c r="F24" s="1187">
        <f t="shared" si="3"/>
        <v>155.38</v>
      </c>
      <c r="G24" s="1188" t="s">
        <v>226</v>
      </c>
      <c r="H24" s="1189">
        <v>75</v>
      </c>
      <c r="I24" s="713">
        <f t="shared" si="1"/>
        <v>1801.1999999999994</v>
      </c>
      <c r="J24" s="723">
        <f t="shared" si="2"/>
        <v>67</v>
      </c>
    </row>
    <row r="25" spans="1:10" x14ac:dyDescent="0.25">
      <c r="A25" s="840"/>
      <c r="B25" s="676"/>
      <c r="C25" s="624">
        <v>1</v>
      </c>
      <c r="D25" s="1185">
        <v>25.11</v>
      </c>
      <c r="E25" s="1190">
        <v>45092</v>
      </c>
      <c r="F25" s="1187">
        <f t="shared" si="3"/>
        <v>25.11</v>
      </c>
      <c r="G25" s="1188" t="s">
        <v>228</v>
      </c>
      <c r="H25" s="1189">
        <v>67</v>
      </c>
      <c r="I25" s="713">
        <f t="shared" si="1"/>
        <v>1776.0899999999995</v>
      </c>
      <c r="J25" s="723">
        <f t="shared" si="2"/>
        <v>66</v>
      </c>
    </row>
    <row r="26" spans="1:10" x14ac:dyDescent="0.25">
      <c r="A26" s="840"/>
      <c r="B26" s="676"/>
      <c r="C26" s="624">
        <v>6</v>
      </c>
      <c r="D26" s="1185">
        <v>143.91</v>
      </c>
      <c r="E26" s="1190">
        <v>45093</v>
      </c>
      <c r="F26" s="1187">
        <f t="shared" si="3"/>
        <v>143.91</v>
      </c>
      <c r="G26" s="1188" t="s">
        <v>231</v>
      </c>
      <c r="H26" s="1189">
        <v>67</v>
      </c>
      <c r="I26" s="713">
        <f t="shared" si="1"/>
        <v>1632.1799999999994</v>
      </c>
      <c r="J26" s="723">
        <f t="shared" si="2"/>
        <v>60</v>
      </c>
    </row>
    <row r="27" spans="1:10" x14ac:dyDescent="0.25">
      <c r="A27" s="840"/>
      <c r="B27" s="676"/>
      <c r="C27" s="624">
        <v>5</v>
      </c>
      <c r="D27" s="1185">
        <v>112.96</v>
      </c>
      <c r="E27" s="1190">
        <v>45094</v>
      </c>
      <c r="F27" s="1187">
        <f t="shared" si="3"/>
        <v>112.96</v>
      </c>
      <c r="G27" s="1188" t="s">
        <v>238</v>
      </c>
      <c r="H27" s="1189">
        <v>67</v>
      </c>
      <c r="I27" s="713">
        <f t="shared" si="1"/>
        <v>1519.2199999999993</v>
      </c>
      <c r="J27" s="723">
        <f t="shared" si="2"/>
        <v>55</v>
      </c>
    </row>
    <row r="28" spans="1:10" x14ac:dyDescent="0.25">
      <c r="A28" s="840"/>
      <c r="B28" s="676"/>
      <c r="C28" s="624">
        <v>2</v>
      </c>
      <c r="D28" s="1185">
        <v>52.23</v>
      </c>
      <c r="E28" s="1190">
        <v>45094</v>
      </c>
      <c r="F28" s="1187">
        <f t="shared" si="3"/>
        <v>52.23</v>
      </c>
      <c r="G28" s="1188" t="s">
        <v>240</v>
      </c>
      <c r="H28" s="1189">
        <v>67</v>
      </c>
      <c r="I28" s="713">
        <f t="shared" si="1"/>
        <v>1466.9899999999993</v>
      </c>
      <c r="J28" s="723">
        <f t="shared" si="2"/>
        <v>53</v>
      </c>
    </row>
    <row r="29" spans="1:10" x14ac:dyDescent="0.25">
      <c r="A29" s="840"/>
      <c r="B29" s="676"/>
      <c r="C29" s="624">
        <v>1</v>
      </c>
      <c r="D29" s="1185">
        <v>27.18</v>
      </c>
      <c r="E29" s="1190">
        <v>45096</v>
      </c>
      <c r="F29" s="1187">
        <f t="shared" si="3"/>
        <v>27.18</v>
      </c>
      <c r="G29" s="1188" t="s">
        <v>216</v>
      </c>
      <c r="H29" s="1189">
        <v>67</v>
      </c>
      <c r="I29" s="713">
        <f t="shared" si="1"/>
        <v>1439.8099999999993</v>
      </c>
      <c r="J29" s="723">
        <f t="shared" si="2"/>
        <v>52</v>
      </c>
    </row>
    <row r="30" spans="1:10" x14ac:dyDescent="0.25">
      <c r="A30" s="840"/>
      <c r="B30" s="676"/>
      <c r="C30" s="624">
        <v>3</v>
      </c>
      <c r="D30" s="1185">
        <v>62.02</v>
      </c>
      <c r="E30" s="1190">
        <v>45096</v>
      </c>
      <c r="F30" s="1187">
        <f t="shared" si="3"/>
        <v>62.02</v>
      </c>
      <c r="G30" s="1188" t="s">
        <v>241</v>
      </c>
      <c r="H30" s="1189">
        <v>67</v>
      </c>
      <c r="I30" s="713">
        <f t="shared" si="1"/>
        <v>1377.7899999999993</v>
      </c>
      <c r="J30" s="723">
        <f t="shared" si="2"/>
        <v>49</v>
      </c>
    </row>
    <row r="31" spans="1:10" x14ac:dyDescent="0.25">
      <c r="A31" s="840"/>
      <c r="B31" s="676"/>
      <c r="C31" s="624">
        <v>10</v>
      </c>
      <c r="D31" s="1185">
        <f>79.92+188.23</f>
        <v>268.14999999999998</v>
      </c>
      <c r="E31" s="1190">
        <v>45105</v>
      </c>
      <c r="F31" s="1187">
        <f t="shared" si="3"/>
        <v>268.14999999999998</v>
      </c>
      <c r="G31" s="1188" t="s">
        <v>281</v>
      </c>
      <c r="H31" s="1189">
        <v>67</v>
      </c>
      <c r="I31" s="713">
        <f t="shared" si="1"/>
        <v>1109.6399999999994</v>
      </c>
      <c r="J31" s="723">
        <f t="shared" si="2"/>
        <v>39</v>
      </c>
    </row>
    <row r="32" spans="1:10" x14ac:dyDescent="0.25">
      <c r="A32" s="2"/>
      <c r="B32" s="82"/>
      <c r="C32" s="15">
        <v>1</v>
      </c>
      <c r="D32" s="1191">
        <v>44.77</v>
      </c>
      <c r="E32" s="1192">
        <v>45108</v>
      </c>
      <c r="F32" s="1193">
        <f t="shared" si="3"/>
        <v>44.77</v>
      </c>
      <c r="G32" s="1194" t="s">
        <v>297</v>
      </c>
      <c r="H32" s="1195">
        <v>67</v>
      </c>
      <c r="I32" s="637">
        <f t="shared" si="1"/>
        <v>1064.8699999999994</v>
      </c>
      <c r="J32" s="638">
        <f t="shared" si="2"/>
        <v>38</v>
      </c>
    </row>
    <row r="33" spans="1:10" x14ac:dyDescent="0.25">
      <c r="A33" s="2"/>
      <c r="B33" s="82"/>
      <c r="C33" s="15"/>
      <c r="D33" s="1191"/>
      <c r="E33" s="1192"/>
      <c r="F33" s="1193">
        <f t="shared" si="3"/>
        <v>0</v>
      </c>
      <c r="G33" s="1194"/>
      <c r="H33" s="1189"/>
      <c r="I33" s="713">
        <f t="shared" si="1"/>
        <v>1064.8699999999994</v>
      </c>
      <c r="J33" s="723">
        <f t="shared" si="2"/>
        <v>38</v>
      </c>
    </row>
    <row r="34" spans="1:10" x14ac:dyDescent="0.25">
      <c r="A34" s="2"/>
      <c r="B34" s="82"/>
      <c r="C34" s="15">
        <v>4</v>
      </c>
      <c r="D34" s="1301">
        <v>110.15</v>
      </c>
      <c r="E34" s="1086">
        <v>45111</v>
      </c>
      <c r="F34" s="1061">
        <f t="shared" si="3"/>
        <v>110.15</v>
      </c>
      <c r="G34" s="1062" t="s">
        <v>507</v>
      </c>
      <c r="H34" s="1060">
        <v>67</v>
      </c>
      <c r="I34" s="713">
        <f t="shared" si="1"/>
        <v>954.71999999999946</v>
      </c>
      <c r="J34" s="723">
        <f t="shared" si="2"/>
        <v>34</v>
      </c>
    </row>
    <row r="35" spans="1:10" x14ac:dyDescent="0.25">
      <c r="A35" s="2"/>
      <c r="B35" s="82"/>
      <c r="C35" s="15">
        <v>4</v>
      </c>
      <c r="D35" s="1301">
        <v>112.05</v>
      </c>
      <c r="E35" s="1086">
        <v>45112</v>
      </c>
      <c r="F35" s="1061">
        <f t="shared" si="3"/>
        <v>112.05</v>
      </c>
      <c r="G35" s="1062" t="s">
        <v>517</v>
      </c>
      <c r="H35" s="1060">
        <v>67</v>
      </c>
      <c r="I35" s="713">
        <f t="shared" si="1"/>
        <v>842.6699999999995</v>
      </c>
      <c r="J35" s="723">
        <f t="shared" si="2"/>
        <v>30</v>
      </c>
    </row>
    <row r="36" spans="1:10" x14ac:dyDescent="0.25">
      <c r="A36" s="2"/>
      <c r="B36" s="82"/>
      <c r="C36" s="15">
        <v>3</v>
      </c>
      <c r="D36" s="1301">
        <v>87.59</v>
      </c>
      <c r="E36" s="1086">
        <v>45117</v>
      </c>
      <c r="F36" s="1061">
        <f t="shared" si="3"/>
        <v>87.59</v>
      </c>
      <c r="G36" s="1062" t="s">
        <v>557</v>
      </c>
      <c r="H36" s="1060">
        <v>67</v>
      </c>
      <c r="I36" s="713">
        <f t="shared" si="1"/>
        <v>755.07999999999947</v>
      </c>
      <c r="J36" s="723">
        <f t="shared" si="2"/>
        <v>27</v>
      </c>
    </row>
    <row r="37" spans="1:10" x14ac:dyDescent="0.25">
      <c r="A37" s="2"/>
      <c r="B37" s="82"/>
      <c r="C37" s="15">
        <v>1</v>
      </c>
      <c r="D37" s="1301">
        <v>28.72</v>
      </c>
      <c r="E37" s="1086">
        <v>45121</v>
      </c>
      <c r="F37" s="1061">
        <f t="shared" si="3"/>
        <v>28.72</v>
      </c>
      <c r="G37" s="1062" t="s">
        <v>595</v>
      </c>
      <c r="H37" s="1060">
        <v>67</v>
      </c>
      <c r="I37" s="713">
        <f t="shared" si="1"/>
        <v>726.35999999999945</v>
      </c>
      <c r="J37" s="723">
        <f t="shared" si="2"/>
        <v>26</v>
      </c>
    </row>
    <row r="38" spans="1:10" x14ac:dyDescent="0.25">
      <c r="A38" s="2"/>
      <c r="B38" s="82"/>
      <c r="C38" s="576">
        <v>8</v>
      </c>
      <c r="D38" s="1302">
        <v>215.5</v>
      </c>
      <c r="E38" s="1288">
        <v>45121</v>
      </c>
      <c r="F38" s="639">
        <f t="shared" si="3"/>
        <v>215.5</v>
      </c>
      <c r="G38" s="1059" t="s">
        <v>599</v>
      </c>
      <c r="H38" s="1060">
        <v>67</v>
      </c>
      <c r="I38" s="713">
        <f t="shared" si="1"/>
        <v>510.85999999999945</v>
      </c>
      <c r="J38" s="723">
        <f t="shared" si="2"/>
        <v>18</v>
      </c>
    </row>
    <row r="39" spans="1:10" x14ac:dyDescent="0.25">
      <c r="A39" s="2"/>
      <c r="B39" s="82"/>
      <c r="C39" s="576">
        <v>8</v>
      </c>
      <c r="D39" s="1302">
        <v>215.18</v>
      </c>
      <c r="E39" s="1288">
        <v>45122</v>
      </c>
      <c r="F39" s="639">
        <f t="shared" si="3"/>
        <v>215.18</v>
      </c>
      <c r="G39" s="1059" t="s">
        <v>607</v>
      </c>
      <c r="H39" s="1060">
        <v>67</v>
      </c>
      <c r="I39" s="713">
        <f t="shared" si="1"/>
        <v>295.67999999999944</v>
      </c>
      <c r="J39" s="723">
        <f t="shared" si="2"/>
        <v>10</v>
      </c>
    </row>
    <row r="40" spans="1:10" x14ac:dyDescent="0.25">
      <c r="A40" s="2"/>
      <c r="B40" s="82"/>
      <c r="C40" s="576">
        <v>7</v>
      </c>
      <c r="D40" s="1302">
        <v>207.44</v>
      </c>
      <c r="E40" s="1288">
        <v>45129</v>
      </c>
      <c r="F40" s="639">
        <f t="shared" si="3"/>
        <v>207.44</v>
      </c>
      <c r="G40" s="1059" t="s">
        <v>671</v>
      </c>
      <c r="H40" s="1060">
        <v>67</v>
      </c>
      <c r="I40" s="713">
        <f t="shared" si="1"/>
        <v>88.239999999999441</v>
      </c>
      <c r="J40" s="723">
        <f t="shared" si="2"/>
        <v>3</v>
      </c>
    </row>
    <row r="41" spans="1:10" x14ac:dyDescent="0.25">
      <c r="A41" s="2"/>
      <c r="B41" s="82"/>
      <c r="C41" s="576">
        <v>3</v>
      </c>
      <c r="D41" s="1302">
        <v>85.91</v>
      </c>
      <c r="E41" s="1288">
        <v>45129</v>
      </c>
      <c r="F41" s="639">
        <f t="shared" si="3"/>
        <v>85.91</v>
      </c>
      <c r="G41" s="1059" t="s">
        <v>673</v>
      </c>
      <c r="H41" s="1060">
        <v>67</v>
      </c>
      <c r="I41" s="713">
        <f t="shared" si="1"/>
        <v>2.3299999999994441</v>
      </c>
      <c r="J41" s="723">
        <f t="shared" si="2"/>
        <v>0</v>
      </c>
    </row>
    <row r="42" spans="1:10" x14ac:dyDescent="0.25">
      <c r="A42" s="2"/>
      <c r="B42" s="82"/>
      <c r="C42" s="576"/>
      <c r="D42" s="1302"/>
      <c r="E42" s="1288"/>
      <c r="F42" s="639">
        <f t="shared" si="3"/>
        <v>0</v>
      </c>
      <c r="G42" s="1059"/>
      <c r="H42" s="1060"/>
      <c r="I42" s="713">
        <f t="shared" si="1"/>
        <v>2.3299999999994441</v>
      </c>
      <c r="J42" s="723">
        <f t="shared" si="2"/>
        <v>0</v>
      </c>
    </row>
    <row r="43" spans="1:10" x14ac:dyDescent="0.25">
      <c r="A43" s="2"/>
      <c r="B43" s="82"/>
      <c r="C43" s="576"/>
      <c r="D43" s="1302"/>
      <c r="E43" s="1288"/>
      <c r="F43" s="639">
        <f t="shared" si="3"/>
        <v>0</v>
      </c>
      <c r="G43" s="1059"/>
      <c r="H43" s="1060"/>
      <c r="I43" s="713">
        <f t="shared" si="1"/>
        <v>2.3299999999994441</v>
      </c>
      <c r="J43" s="723">
        <f t="shared" si="2"/>
        <v>0</v>
      </c>
    </row>
    <row r="44" spans="1:10" x14ac:dyDescent="0.25">
      <c r="A44" s="2"/>
      <c r="B44" s="82"/>
      <c r="C44" s="576"/>
      <c r="D44" s="1302"/>
      <c r="E44" s="1288"/>
      <c r="F44" s="639">
        <f t="shared" si="3"/>
        <v>0</v>
      </c>
      <c r="G44" s="1536"/>
      <c r="H44" s="1537"/>
      <c r="I44" s="1498">
        <f t="shared" si="1"/>
        <v>2.3299999999994441</v>
      </c>
      <c r="J44" s="1499">
        <f t="shared" si="2"/>
        <v>0</v>
      </c>
    </row>
    <row r="45" spans="1:10" x14ac:dyDescent="0.25">
      <c r="A45" s="2"/>
      <c r="B45" s="82"/>
      <c r="C45" s="576"/>
      <c r="D45" s="1302"/>
      <c r="E45" s="1288"/>
      <c r="F45" s="639">
        <f t="shared" si="3"/>
        <v>0</v>
      </c>
      <c r="G45" s="1536"/>
      <c r="H45" s="1537"/>
      <c r="I45" s="1498">
        <f t="shared" si="1"/>
        <v>2.3299999999994441</v>
      </c>
      <c r="J45" s="1499">
        <f t="shared" si="2"/>
        <v>0</v>
      </c>
    </row>
    <row r="46" spans="1:10" x14ac:dyDescent="0.25">
      <c r="A46" s="2"/>
      <c r="B46" s="82"/>
      <c r="C46" s="576"/>
      <c r="D46" s="1302"/>
      <c r="E46" s="1288"/>
      <c r="F46" s="639">
        <f t="shared" si="3"/>
        <v>0</v>
      </c>
      <c r="G46" s="1536"/>
      <c r="H46" s="1537"/>
      <c r="I46" s="1498">
        <f t="shared" si="1"/>
        <v>2.3299999999994441</v>
      </c>
      <c r="J46" s="1499">
        <f t="shared" si="2"/>
        <v>0</v>
      </c>
    </row>
    <row r="47" spans="1:10" x14ac:dyDescent="0.25">
      <c r="A47" s="2"/>
      <c r="B47" s="82"/>
      <c r="C47" s="576"/>
      <c r="D47" s="1302"/>
      <c r="E47" s="1288"/>
      <c r="F47" s="639">
        <f t="shared" si="3"/>
        <v>0</v>
      </c>
      <c r="G47" s="1536"/>
      <c r="H47" s="1537"/>
      <c r="I47" s="1498">
        <f t="shared" si="1"/>
        <v>2.3299999999994441</v>
      </c>
      <c r="J47" s="1499">
        <f t="shared" si="2"/>
        <v>0</v>
      </c>
    </row>
    <row r="48" spans="1:10" x14ac:dyDescent="0.25">
      <c r="A48" s="2"/>
      <c r="B48" s="82"/>
      <c r="C48" s="576"/>
      <c r="D48" s="1302"/>
      <c r="E48" s="1288"/>
      <c r="F48" s="639">
        <f t="shared" si="3"/>
        <v>0</v>
      </c>
      <c r="G48" s="1059"/>
      <c r="H48" s="1060"/>
      <c r="I48" s="713">
        <f t="shared" si="1"/>
        <v>2.3299999999994441</v>
      </c>
      <c r="J48" s="723">
        <f t="shared" si="2"/>
        <v>0</v>
      </c>
    </row>
    <row r="49" spans="1:10" x14ac:dyDescent="0.25">
      <c r="A49" s="2"/>
      <c r="B49" s="82"/>
      <c r="C49" s="576"/>
      <c r="D49" s="1302"/>
      <c r="E49" s="1288"/>
      <c r="F49" s="639">
        <f t="shared" si="3"/>
        <v>0</v>
      </c>
      <c r="G49" s="1059"/>
      <c r="H49" s="1060"/>
      <c r="I49" s="713">
        <f t="shared" si="1"/>
        <v>2.3299999999994441</v>
      </c>
      <c r="J49" s="723">
        <f t="shared" si="2"/>
        <v>0</v>
      </c>
    </row>
    <row r="50" spans="1:10" x14ac:dyDescent="0.25">
      <c r="A50" s="2"/>
      <c r="B50" s="82"/>
      <c r="C50" s="576"/>
      <c r="D50" s="1302"/>
      <c r="E50" s="1288"/>
      <c r="F50" s="639">
        <f t="shared" si="3"/>
        <v>0</v>
      </c>
      <c r="G50" s="1059"/>
      <c r="H50" s="1060"/>
      <c r="I50" s="713">
        <f t="shared" si="1"/>
        <v>2.3299999999994441</v>
      </c>
      <c r="J50" s="723">
        <f t="shared" si="2"/>
        <v>0</v>
      </c>
    </row>
    <row r="51" spans="1:10" x14ac:dyDescent="0.25">
      <c r="A51" s="2"/>
      <c r="B51" s="82"/>
      <c r="C51" s="576"/>
      <c r="D51" s="1302"/>
      <c r="E51" s="1288"/>
      <c r="F51" s="639">
        <f t="shared" si="3"/>
        <v>0</v>
      </c>
      <c r="G51" s="1059"/>
      <c r="H51" s="1060"/>
      <c r="I51" s="713">
        <f t="shared" si="1"/>
        <v>2.3299999999994441</v>
      </c>
      <c r="J51" s="723">
        <f t="shared" si="2"/>
        <v>0</v>
      </c>
    </row>
    <row r="52" spans="1:10" x14ac:dyDescent="0.25">
      <c r="A52" s="2"/>
      <c r="B52" s="82"/>
      <c r="C52" s="576"/>
      <c r="D52" s="1302"/>
      <c r="E52" s="1288"/>
      <c r="F52" s="639">
        <f t="shared" si="3"/>
        <v>0</v>
      </c>
      <c r="G52" s="1059"/>
      <c r="H52" s="1060"/>
      <c r="I52" s="713">
        <f t="shared" si="1"/>
        <v>2.3299999999994441</v>
      </c>
      <c r="J52" s="723">
        <f t="shared" si="2"/>
        <v>0</v>
      </c>
    </row>
    <row r="53" spans="1:10" x14ac:dyDescent="0.25">
      <c r="A53" s="2"/>
      <c r="B53" s="82"/>
      <c r="C53" s="576"/>
      <c r="D53" s="1302"/>
      <c r="E53" s="1288"/>
      <c r="F53" s="639">
        <f t="shared" si="3"/>
        <v>0</v>
      </c>
      <c r="G53" s="1059"/>
      <c r="H53" s="1060"/>
      <c r="I53" s="713">
        <f t="shared" si="1"/>
        <v>2.3299999999994441</v>
      </c>
      <c r="J53" s="723">
        <f t="shared" si="2"/>
        <v>0</v>
      </c>
    </row>
    <row r="54" spans="1:10" x14ac:dyDescent="0.25">
      <c r="A54" s="2"/>
      <c r="B54" s="82"/>
      <c r="C54" s="576"/>
      <c r="D54" s="1302"/>
      <c r="E54" s="1288"/>
      <c r="F54" s="639">
        <f t="shared" si="3"/>
        <v>0</v>
      </c>
      <c r="G54" s="1059"/>
      <c r="H54" s="1060"/>
      <c r="I54" s="713">
        <f t="shared" si="1"/>
        <v>2.3299999999994441</v>
      </c>
      <c r="J54" s="723">
        <f t="shared" si="2"/>
        <v>0</v>
      </c>
    </row>
    <row r="55" spans="1:10" x14ac:dyDescent="0.25">
      <c r="A55" s="2"/>
      <c r="B55" s="82"/>
      <c r="C55" s="576"/>
      <c r="D55" s="1302"/>
      <c r="E55" s="1288"/>
      <c r="F55" s="639">
        <f t="shared" si="3"/>
        <v>0</v>
      </c>
      <c r="G55" s="1059"/>
      <c r="H55" s="1060"/>
      <c r="I55" s="713">
        <f t="shared" si="1"/>
        <v>2.3299999999994441</v>
      </c>
      <c r="J55" s="723">
        <f t="shared" si="2"/>
        <v>0</v>
      </c>
    </row>
    <row r="56" spans="1:10" x14ac:dyDescent="0.25">
      <c r="A56" s="2"/>
      <c r="B56" s="82"/>
      <c r="C56" s="576"/>
      <c r="D56" s="1302"/>
      <c r="E56" s="1288"/>
      <c r="F56" s="639">
        <f t="shared" si="3"/>
        <v>0</v>
      </c>
      <c r="G56" s="1059"/>
      <c r="H56" s="1060"/>
      <c r="I56" s="713">
        <f t="shared" si="1"/>
        <v>2.3299999999994441</v>
      </c>
      <c r="J56" s="723">
        <f t="shared" si="2"/>
        <v>0</v>
      </c>
    </row>
    <row r="57" spans="1:10" x14ac:dyDescent="0.25">
      <c r="A57" s="2"/>
      <c r="B57" s="82"/>
      <c r="C57" s="576"/>
      <c r="D57" s="1302"/>
      <c r="E57" s="1288"/>
      <c r="F57" s="639">
        <f t="shared" si="3"/>
        <v>0</v>
      </c>
      <c r="G57" s="1059"/>
      <c r="H57" s="1060"/>
      <c r="I57" s="713">
        <f t="shared" si="1"/>
        <v>2.3299999999994441</v>
      </c>
      <c r="J57" s="723">
        <f t="shared" si="2"/>
        <v>0</v>
      </c>
    </row>
    <row r="58" spans="1:10" x14ac:dyDescent="0.25">
      <c r="A58" s="2"/>
      <c r="B58" s="82"/>
      <c r="C58" s="576"/>
      <c r="D58" s="1302"/>
      <c r="E58" s="1288"/>
      <c r="F58" s="639">
        <f t="shared" si="3"/>
        <v>0</v>
      </c>
      <c r="G58" s="1059"/>
      <c r="H58" s="1060"/>
      <c r="I58" s="713">
        <f t="shared" si="1"/>
        <v>2.3299999999994441</v>
      </c>
      <c r="J58" s="723">
        <f t="shared" si="2"/>
        <v>0</v>
      </c>
    </row>
    <row r="59" spans="1:10" x14ac:dyDescent="0.25">
      <c r="A59" s="2"/>
      <c r="B59" s="82"/>
      <c r="C59" s="576"/>
      <c r="D59" s="1302"/>
      <c r="E59" s="1288"/>
      <c r="F59" s="639">
        <f t="shared" si="3"/>
        <v>0</v>
      </c>
      <c r="G59" s="1059"/>
      <c r="H59" s="1060"/>
      <c r="I59" s="713">
        <f t="shared" si="1"/>
        <v>2.3299999999994441</v>
      </c>
      <c r="J59" s="723">
        <f t="shared" si="2"/>
        <v>0</v>
      </c>
    </row>
    <row r="60" spans="1:10" x14ac:dyDescent="0.25">
      <c r="A60" s="2"/>
      <c r="B60" s="82"/>
      <c r="C60" s="576"/>
      <c r="D60" s="1302"/>
      <c r="E60" s="1288"/>
      <c r="F60" s="639">
        <f t="shared" si="3"/>
        <v>0</v>
      </c>
      <c r="G60" s="1059"/>
      <c r="H60" s="1060"/>
      <c r="I60" s="713">
        <f t="shared" si="1"/>
        <v>2.3299999999994441</v>
      </c>
      <c r="J60" s="723">
        <f t="shared" si="2"/>
        <v>0</v>
      </c>
    </row>
    <row r="61" spans="1:10" x14ac:dyDescent="0.25">
      <c r="A61" s="2"/>
      <c r="B61" s="82"/>
      <c r="C61" s="576"/>
      <c r="D61" s="837"/>
      <c r="E61" s="643"/>
      <c r="F61" s="565">
        <f t="shared" si="3"/>
        <v>0</v>
      </c>
      <c r="G61" s="563"/>
      <c r="H61" s="593"/>
      <c r="I61" s="713">
        <f t="shared" si="1"/>
        <v>2.3299999999994441</v>
      </c>
      <c r="J61" s="723">
        <f t="shared" si="2"/>
        <v>0</v>
      </c>
    </row>
    <row r="62" spans="1:10" x14ac:dyDescent="0.25">
      <c r="A62" s="2"/>
      <c r="B62" s="82"/>
      <c r="C62" s="576"/>
      <c r="D62" s="837"/>
      <c r="E62" s="643"/>
      <c r="F62" s="565">
        <f t="shared" si="3"/>
        <v>0</v>
      </c>
      <c r="G62" s="563"/>
      <c r="H62" s="593"/>
      <c r="I62" s="713">
        <f t="shared" si="1"/>
        <v>2.3299999999994441</v>
      </c>
      <c r="J62" s="723">
        <f t="shared" si="2"/>
        <v>0</v>
      </c>
    </row>
    <row r="63" spans="1:10" x14ac:dyDescent="0.25">
      <c r="A63" s="2"/>
      <c r="B63" s="82"/>
      <c r="C63" s="576"/>
      <c r="D63" s="837"/>
      <c r="E63" s="643"/>
      <c r="F63" s="565">
        <f t="shared" si="3"/>
        <v>0</v>
      </c>
      <c r="G63" s="563"/>
      <c r="H63" s="593"/>
      <c r="I63" s="713">
        <f t="shared" si="1"/>
        <v>2.3299999999994441</v>
      </c>
      <c r="J63" s="723">
        <f t="shared" si="2"/>
        <v>0</v>
      </c>
    </row>
    <row r="64" spans="1:10" x14ac:dyDescent="0.25">
      <c r="A64" s="2"/>
      <c r="B64" s="82"/>
      <c r="C64" s="576"/>
      <c r="D64" s="837"/>
      <c r="E64" s="643"/>
      <c r="F64" s="565">
        <f t="shared" si="3"/>
        <v>0</v>
      </c>
      <c r="G64" s="563"/>
      <c r="H64" s="593"/>
      <c r="I64" s="713">
        <f t="shared" si="1"/>
        <v>2.3299999999994441</v>
      </c>
      <c r="J64" s="723">
        <f t="shared" si="2"/>
        <v>0</v>
      </c>
    </row>
    <row r="65" spans="1:10" x14ac:dyDescent="0.25">
      <c r="A65" s="2"/>
      <c r="B65" s="82"/>
      <c r="C65" s="576"/>
      <c r="D65" s="837"/>
      <c r="E65" s="643"/>
      <c r="F65" s="565">
        <f t="shared" si="3"/>
        <v>0</v>
      </c>
      <c r="G65" s="563"/>
      <c r="H65" s="593"/>
      <c r="I65" s="713">
        <f t="shared" si="1"/>
        <v>2.3299999999994441</v>
      </c>
      <c r="J65" s="723">
        <f t="shared" si="2"/>
        <v>0</v>
      </c>
    </row>
    <row r="66" spans="1:10" x14ac:dyDescent="0.25">
      <c r="A66" s="2"/>
      <c r="B66" s="82"/>
      <c r="C66" s="576"/>
      <c r="D66" s="837"/>
      <c r="E66" s="643"/>
      <c r="F66" s="565">
        <f t="shared" si="3"/>
        <v>0</v>
      </c>
      <c r="G66" s="563"/>
      <c r="H66" s="593"/>
      <c r="I66" s="713">
        <f t="shared" si="1"/>
        <v>2.3299999999994441</v>
      </c>
      <c r="J66" s="723">
        <f t="shared" si="2"/>
        <v>0</v>
      </c>
    </row>
    <row r="67" spans="1:10" x14ac:dyDescent="0.25">
      <c r="A67" s="2"/>
      <c r="B67" s="82"/>
      <c r="C67" s="576"/>
      <c r="D67" s="837"/>
      <c r="E67" s="643"/>
      <c r="F67" s="565">
        <f t="shared" si="3"/>
        <v>0</v>
      </c>
      <c r="G67" s="563"/>
      <c r="H67" s="593"/>
      <c r="I67" s="713">
        <f t="shared" si="1"/>
        <v>2.3299999999994441</v>
      </c>
      <c r="J67" s="723">
        <f t="shared" si="2"/>
        <v>0</v>
      </c>
    </row>
    <row r="68" spans="1:10" x14ac:dyDescent="0.25">
      <c r="A68" s="2"/>
      <c r="B68" s="82"/>
      <c r="C68" s="576"/>
      <c r="D68" s="837"/>
      <c r="E68" s="643"/>
      <c r="F68" s="565">
        <f t="shared" si="3"/>
        <v>0</v>
      </c>
      <c r="G68" s="563"/>
      <c r="H68" s="593"/>
      <c r="I68" s="713">
        <f t="shared" si="1"/>
        <v>2.3299999999994441</v>
      </c>
      <c r="J68" s="723">
        <f t="shared" si="2"/>
        <v>0</v>
      </c>
    </row>
    <row r="69" spans="1:10" x14ac:dyDescent="0.25">
      <c r="A69" s="2"/>
      <c r="B69" s="82"/>
      <c r="C69" s="576"/>
      <c r="D69" s="837"/>
      <c r="E69" s="643"/>
      <c r="F69" s="565">
        <f t="shared" si="3"/>
        <v>0</v>
      </c>
      <c r="G69" s="563"/>
      <c r="H69" s="593"/>
      <c r="I69" s="713">
        <f t="shared" si="1"/>
        <v>2.3299999999994441</v>
      </c>
      <c r="J69" s="723">
        <f t="shared" si="2"/>
        <v>0</v>
      </c>
    </row>
    <row r="70" spans="1:10" x14ac:dyDescent="0.25">
      <c r="A70" s="2"/>
      <c r="B70" s="82"/>
      <c r="C70" s="576"/>
      <c r="D70" s="837"/>
      <c r="E70" s="643"/>
      <c r="F70" s="565">
        <f t="shared" si="3"/>
        <v>0</v>
      </c>
      <c r="G70" s="563"/>
      <c r="H70" s="593"/>
      <c r="I70" s="713">
        <f t="shared" si="1"/>
        <v>2.3299999999994441</v>
      </c>
      <c r="J70" s="723">
        <f t="shared" si="2"/>
        <v>0</v>
      </c>
    </row>
    <row r="71" spans="1:10" x14ac:dyDescent="0.25">
      <c r="A71" s="2"/>
      <c r="B71" s="82"/>
      <c r="C71" s="576"/>
      <c r="D71" s="837"/>
      <c r="E71" s="643"/>
      <c r="F71" s="565">
        <f t="shared" si="3"/>
        <v>0</v>
      </c>
      <c r="G71" s="563"/>
      <c r="H71" s="593"/>
      <c r="I71" s="713">
        <f t="shared" si="1"/>
        <v>2.3299999999994441</v>
      </c>
      <c r="J71" s="723">
        <f t="shared" si="2"/>
        <v>0</v>
      </c>
    </row>
    <row r="72" spans="1:10" x14ac:dyDescent="0.25">
      <c r="A72" s="2"/>
      <c r="B72" s="82"/>
      <c r="C72" s="576"/>
      <c r="D72" s="837"/>
      <c r="E72" s="643"/>
      <c r="F72" s="565">
        <f t="shared" si="3"/>
        <v>0</v>
      </c>
      <c r="G72" s="563"/>
      <c r="H72" s="593"/>
      <c r="I72" s="713">
        <f t="shared" si="1"/>
        <v>2.3299999999994441</v>
      </c>
      <c r="J72" s="723">
        <f t="shared" si="2"/>
        <v>0</v>
      </c>
    </row>
    <row r="73" spans="1:10" x14ac:dyDescent="0.25">
      <c r="A73" s="2"/>
      <c r="B73" s="82"/>
      <c r="C73" s="576"/>
      <c r="D73" s="837"/>
      <c r="E73" s="643"/>
      <c r="F73" s="565">
        <f t="shared" si="3"/>
        <v>0</v>
      </c>
      <c r="G73" s="563"/>
      <c r="H73" s="593"/>
      <c r="I73" s="713">
        <f t="shared" si="1"/>
        <v>2.3299999999994441</v>
      </c>
      <c r="J73" s="723">
        <f t="shared" si="2"/>
        <v>0</v>
      </c>
    </row>
    <row r="74" spans="1:10" x14ac:dyDescent="0.25">
      <c r="A74" s="2"/>
      <c r="B74" s="82"/>
      <c r="C74" s="576"/>
      <c r="D74" s="837"/>
      <c r="E74" s="643"/>
      <c r="F74" s="565">
        <f t="shared" si="3"/>
        <v>0</v>
      </c>
      <c r="G74" s="563"/>
      <c r="H74" s="593"/>
      <c r="I74" s="713">
        <f t="shared" si="1"/>
        <v>2.3299999999994441</v>
      </c>
      <c r="J74" s="723">
        <f t="shared" si="2"/>
        <v>0</v>
      </c>
    </row>
    <row r="75" spans="1:10" x14ac:dyDescent="0.25">
      <c r="A75" s="2"/>
      <c r="B75" s="82"/>
      <c r="C75" s="576"/>
      <c r="D75" s="837"/>
      <c r="E75" s="643"/>
      <c r="F75" s="565">
        <f t="shared" si="3"/>
        <v>0</v>
      </c>
      <c r="G75" s="563"/>
      <c r="H75" s="564"/>
      <c r="I75" s="713">
        <f t="shared" si="1"/>
        <v>2.3299999999994441</v>
      </c>
      <c r="J75" s="723">
        <f t="shared" si="2"/>
        <v>0</v>
      </c>
    </row>
    <row r="76" spans="1:10" x14ac:dyDescent="0.25">
      <c r="A76" s="2"/>
      <c r="B76" s="82"/>
      <c r="C76" s="576"/>
      <c r="D76" s="837"/>
      <c r="E76" s="643"/>
      <c r="F76" s="565">
        <f t="shared" si="3"/>
        <v>0</v>
      </c>
      <c r="G76" s="563"/>
      <c r="H76" s="564"/>
      <c r="I76" s="713">
        <f t="shared" ref="I76:I91" si="4">I75-F76</f>
        <v>2.3299999999994441</v>
      </c>
      <c r="J76" s="723">
        <f t="shared" ref="J76:J91" si="5">J75-C76</f>
        <v>0</v>
      </c>
    </row>
    <row r="77" spans="1:10" x14ac:dyDescent="0.25">
      <c r="A77" s="2"/>
      <c r="B77" s="82"/>
      <c r="C77" s="576"/>
      <c r="D77" s="837"/>
      <c r="E77" s="643"/>
      <c r="F77" s="565">
        <f t="shared" ref="F77:F91" si="6">D77</f>
        <v>0</v>
      </c>
      <c r="G77" s="563"/>
      <c r="H77" s="564"/>
      <c r="I77" s="713">
        <f t="shared" si="4"/>
        <v>2.3299999999994441</v>
      </c>
      <c r="J77" s="723">
        <f t="shared" si="5"/>
        <v>0</v>
      </c>
    </row>
    <row r="78" spans="1:10" x14ac:dyDescent="0.25">
      <c r="A78" s="2"/>
      <c r="B78" s="82"/>
      <c r="C78" s="576"/>
      <c r="D78" s="837"/>
      <c r="E78" s="643"/>
      <c r="F78" s="565">
        <f t="shared" si="6"/>
        <v>0</v>
      </c>
      <c r="G78" s="563"/>
      <c r="H78" s="564"/>
      <c r="I78" s="713">
        <f t="shared" si="4"/>
        <v>2.3299999999994441</v>
      </c>
      <c r="J78" s="723">
        <f t="shared" si="5"/>
        <v>0</v>
      </c>
    </row>
    <row r="79" spans="1:10" x14ac:dyDescent="0.25">
      <c r="A79" s="2"/>
      <c r="B79" s="82"/>
      <c r="C79" s="576"/>
      <c r="D79" s="837"/>
      <c r="E79" s="643"/>
      <c r="F79" s="565">
        <f t="shared" si="6"/>
        <v>0</v>
      </c>
      <c r="G79" s="563"/>
      <c r="H79" s="564"/>
      <c r="I79" s="713">
        <f t="shared" si="4"/>
        <v>2.3299999999994441</v>
      </c>
      <c r="J79" s="723">
        <f t="shared" si="5"/>
        <v>0</v>
      </c>
    </row>
    <row r="80" spans="1:10" x14ac:dyDescent="0.25">
      <c r="A80" s="2"/>
      <c r="B80" s="82"/>
      <c r="C80" s="576"/>
      <c r="D80" s="837"/>
      <c r="E80" s="643"/>
      <c r="F80" s="565">
        <f t="shared" si="6"/>
        <v>0</v>
      </c>
      <c r="G80" s="563"/>
      <c r="H80" s="564"/>
      <c r="I80" s="713">
        <f t="shared" si="4"/>
        <v>2.3299999999994441</v>
      </c>
      <c r="J80" s="723">
        <f t="shared" si="5"/>
        <v>0</v>
      </c>
    </row>
    <row r="81" spans="1:10" x14ac:dyDescent="0.25">
      <c r="A81" s="2"/>
      <c r="B81" s="82"/>
      <c r="C81" s="576"/>
      <c r="D81" s="837"/>
      <c r="E81" s="643"/>
      <c r="F81" s="565">
        <f t="shared" si="6"/>
        <v>0</v>
      </c>
      <c r="G81" s="563"/>
      <c r="H81" s="564"/>
      <c r="I81" s="713">
        <f t="shared" si="4"/>
        <v>2.3299999999994441</v>
      </c>
      <c r="J81" s="723">
        <f t="shared" si="5"/>
        <v>0</v>
      </c>
    </row>
    <row r="82" spans="1:10" x14ac:dyDescent="0.25">
      <c r="A82" s="2"/>
      <c r="B82" s="82"/>
      <c r="C82" s="576"/>
      <c r="D82" s="837"/>
      <c r="E82" s="643"/>
      <c r="F82" s="565">
        <f t="shared" si="6"/>
        <v>0</v>
      </c>
      <c r="G82" s="563"/>
      <c r="H82" s="564"/>
      <c r="I82" s="713">
        <f t="shared" si="4"/>
        <v>2.3299999999994441</v>
      </c>
      <c r="J82" s="723">
        <f t="shared" si="5"/>
        <v>0</v>
      </c>
    </row>
    <row r="83" spans="1:10" x14ac:dyDescent="0.25">
      <c r="A83" s="2"/>
      <c r="B83" s="82"/>
      <c r="C83" s="576"/>
      <c r="D83" s="837"/>
      <c r="E83" s="643"/>
      <c r="F83" s="565">
        <f t="shared" si="6"/>
        <v>0</v>
      </c>
      <c r="G83" s="563"/>
      <c r="H83" s="564"/>
      <c r="I83" s="713">
        <f t="shared" si="4"/>
        <v>2.3299999999994441</v>
      </c>
      <c r="J83" s="723">
        <f t="shared" si="5"/>
        <v>0</v>
      </c>
    </row>
    <row r="84" spans="1:10" x14ac:dyDescent="0.25">
      <c r="A84" s="2"/>
      <c r="B84" s="82"/>
      <c r="C84" s="576"/>
      <c r="D84" s="837"/>
      <c r="E84" s="643"/>
      <c r="F84" s="565">
        <f t="shared" si="6"/>
        <v>0</v>
      </c>
      <c r="G84" s="563"/>
      <c r="H84" s="564"/>
      <c r="I84" s="713">
        <f t="shared" si="4"/>
        <v>2.3299999999994441</v>
      </c>
      <c r="J84" s="723">
        <f t="shared" si="5"/>
        <v>0</v>
      </c>
    </row>
    <row r="85" spans="1:10" x14ac:dyDescent="0.25">
      <c r="A85" s="2"/>
      <c r="B85" s="82"/>
      <c r="C85" s="576"/>
      <c r="D85" s="837"/>
      <c r="E85" s="643"/>
      <c r="F85" s="565">
        <f t="shared" si="6"/>
        <v>0</v>
      </c>
      <c r="G85" s="563"/>
      <c r="H85" s="564"/>
      <c r="I85" s="713">
        <f t="shared" si="4"/>
        <v>2.3299999999994441</v>
      </c>
      <c r="J85" s="723">
        <f t="shared" si="5"/>
        <v>0</v>
      </c>
    </row>
    <row r="86" spans="1:10" x14ac:dyDescent="0.25">
      <c r="A86" s="2"/>
      <c r="B86" s="82"/>
      <c r="C86" s="576"/>
      <c r="D86" s="837"/>
      <c r="E86" s="643"/>
      <c r="F86" s="565">
        <f t="shared" si="6"/>
        <v>0</v>
      </c>
      <c r="G86" s="563"/>
      <c r="H86" s="564"/>
      <c r="I86" s="713">
        <f t="shared" si="4"/>
        <v>2.3299999999994441</v>
      </c>
      <c r="J86" s="723">
        <f t="shared" si="5"/>
        <v>0</v>
      </c>
    </row>
    <row r="87" spans="1:10" x14ac:dyDescent="0.25">
      <c r="A87" s="2"/>
      <c r="B87" s="82"/>
      <c r="C87" s="576"/>
      <c r="D87" s="837"/>
      <c r="E87" s="643"/>
      <c r="F87" s="565">
        <f t="shared" si="6"/>
        <v>0</v>
      </c>
      <c r="G87" s="563"/>
      <c r="H87" s="564"/>
      <c r="I87" s="713">
        <f t="shared" si="4"/>
        <v>2.3299999999994441</v>
      </c>
      <c r="J87" s="723">
        <f t="shared" si="5"/>
        <v>0</v>
      </c>
    </row>
    <row r="88" spans="1:10" x14ac:dyDescent="0.25">
      <c r="A88" s="2"/>
      <c r="B88" s="82"/>
      <c r="C88" s="576"/>
      <c r="D88" s="837"/>
      <c r="E88" s="643"/>
      <c r="F88" s="565">
        <f t="shared" si="6"/>
        <v>0</v>
      </c>
      <c r="G88" s="563"/>
      <c r="H88" s="564"/>
      <c r="I88" s="713">
        <f t="shared" si="4"/>
        <v>2.3299999999994441</v>
      </c>
      <c r="J88" s="723">
        <f t="shared" si="5"/>
        <v>0</v>
      </c>
    </row>
    <row r="89" spans="1:10" x14ac:dyDescent="0.25">
      <c r="A89" s="2"/>
      <c r="B89" s="82"/>
      <c r="C89" s="576"/>
      <c r="D89" s="837"/>
      <c r="E89" s="643"/>
      <c r="F89" s="565">
        <f t="shared" si="6"/>
        <v>0</v>
      </c>
      <c r="G89" s="563"/>
      <c r="H89" s="564"/>
      <c r="I89" s="713">
        <f t="shared" si="4"/>
        <v>2.3299999999994441</v>
      </c>
      <c r="J89" s="723">
        <f t="shared" si="5"/>
        <v>0</v>
      </c>
    </row>
    <row r="90" spans="1:10" x14ac:dyDescent="0.25">
      <c r="A90" s="2"/>
      <c r="B90" s="82"/>
      <c r="C90" s="576"/>
      <c r="D90" s="837"/>
      <c r="E90" s="643"/>
      <c r="F90" s="565">
        <f t="shared" si="6"/>
        <v>0</v>
      </c>
      <c r="G90" s="563"/>
      <c r="H90" s="564"/>
      <c r="I90" s="713">
        <f t="shared" si="4"/>
        <v>2.3299999999994441</v>
      </c>
      <c r="J90" s="723">
        <f t="shared" si="5"/>
        <v>0</v>
      </c>
    </row>
    <row r="91" spans="1:10" ht="14.25" customHeight="1" x14ac:dyDescent="0.25">
      <c r="A91" s="2"/>
      <c r="B91" s="82"/>
      <c r="C91" s="576"/>
      <c r="D91" s="837">
        <v>0</v>
      </c>
      <c r="E91" s="643"/>
      <c r="F91" s="565">
        <f t="shared" si="6"/>
        <v>0</v>
      </c>
      <c r="G91" s="563"/>
      <c r="H91" s="564"/>
      <c r="I91" s="713">
        <f t="shared" si="4"/>
        <v>2.3299999999994441</v>
      </c>
      <c r="J91" s="723">
        <f t="shared" si="5"/>
        <v>0</v>
      </c>
    </row>
    <row r="92" spans="1:10" ht="14.25" customHeight="1" x14ac:dyDescent="0.25">
      <c r="A92" s="2"/>
      <c r="B92" s="82"/>
      <c r="C92" s="576"/>
      <c r="D92" s="837"/>
      <c r="E92" s="643"/>
      <c r="F92" s="565"/>
      <c r="G92" s="563"/>
      <c r="H92" s="564"/>
      <c r="I92" s="713"/>
      <c r="J92" s="723"/>
    </row>
    <row r="93" spans="1:10" ht="14.25" customHeight="1" x14ac:dyDescent="0.25">
      <c r="A93" s="2"/>
      <c r="B93" s="82"/>
      <c r="C93" s="576"/>
      <c r="D93" s="837"/>
      <c r="E93" s="643"/>
      <c r="F93" s="565"/>
      <c r="G93" s="563"/>
      <c r="H93" s="564"/>
      <c r="I93" s="713"/>
      <c r="J93" s="723"/>
    </row>
    <row r="94" spans="1:10" ht="14.25" customHeight="1" x14ac:dyDescent="0.25">
      <c r="A94" s="2"/>
      <c r="B94" s="82"/>
      <c r="C94" s="576"/>
      <c r="D94" s="837"/>
      <c r="E94" s="643"/>
      <c r="F94" s="565"/>
      <c r="G94" s="563"/>
      <c r="H94" s="564"/>
      <c r="I94" s="713"/>
      <c r="J94" s="723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183</v>
      </c>
      <c r="D102" s="147">
        <v>0</v>
      </c>
      <c r="E102" s="38"/>
      <c r="F102" s="5">
        <f>SUM(F10:F101)</f>
        <v>4647.5700000000006</v>
      </c>
    </row>
    <row r="103" spans="1:10" ht="15.75" thickBot="1" x14ac:dyDescent="0.3">
      <c r="A103" s="51"/>
      <c r="D103" s="147">
        <v>0</v>
      </c>
      <c r="E103" s="67">
        <f>F4+F5+F6-+C102+F7</f>
        <v>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716" t="s">
        <v>11</v>
      </c>
      <c r="D105" s="1717"/>
      <c r="E105" s="141">
        <f>E5+E4+E6+-F102+E7</f>
        <v>2.3299999999990177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B27" sqref="B2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46" t="s">
        <v>324</v>
      </c>
      <c r="B1" s="1746"/>
      <c r="C1" s="1746"/>
      <c r="D1" s="1746"/>
      <c r="E1" s="1746"/>
      <c r="F1" s="1746"/>
      <c r="G1" s="1746"/>
      <c r="H1" s="1746"/>
      <c r="I1" s="174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69"/>
      <c r="B4" s="594"/>
      <c r="C4" s="665"/>
      <c r="D4" s="666"/>
      <c r="E4" s="667"/>
      <c r="F4" s="668"/>
      <c r="G4" s="1137"/>
    </row>
    <row r="5" spans="1:10" ht="15" customHeight="1" x14ac:dyDescent="0.3">
      <c r="A5" s="1747" t="s">
        <v>98</v>
      </c>
      <c r="B5" s="1753" t="s">
        <v>156</v>
      </c>
      <c r="C5" s="888">
        <v>75</v>
      </c>
      <c r="D5" s="666">
        <v>45090</v>
      </c>
      <c r="E5" s="887">
        <v>624.51</v>
      </c>
      <c r="F5" s="668">
        <v>45</v>
      </c>
      <c r="G5" s="143">
        <f>F43</f>
        <v>624.50999999999988</v>
      </c>
      <c r="H5" s="57">
        <f>E4+E5+E6-G5+E7+E8</f>
        <v>1.1368683772161603E-13</v>
      </c>
    </row>
    <row r="6" spans="1:10" ht="16.5" customHeight="1" x14ac:dyDescent="0.25">
      <c r="A6" s="1747"/>
      <c r="B6" s="1754"/>
      <c r="C6" s="665"/>
      <c r="D6" s="666"/>
      <c r="E6" s="667"/>
      <c r="F6" s="668"/>
      <c r="G6" s="1137"/>
    </row>
    <row r="7" spans="1:10" ht="15.75" customHeight="1" thickBot="1" x14ac:dyDescent="0.35">
      <c r="A7" s="1747"/>
      <c r="B7" s="1755"/>
      <c r="C7" s="665"/>
      <c r="D7" s="666"/>
      <c r="E7" s="667"/>
      <c r="F7" s="668"/>
      <c r="G7" s="1137"/>
      <c r="I7" s="350"/>
      <c r="J7" s="350"/>
    </row>
    <row r="8" spans="1:10" ht="16.5" customHeight="1" thickTop="1" thickBot="1" x14ac:dyDescent="0.3">
      <c r="A8" s="3"/>
      <c r="B8" s="379"/>
      <c r="C8" s="222"/>
      <c r="D8" s="320"/>
      <c r="E8" s="225"/>
      <c r="F8" s="226"/>
      <c r="G8" s="1137"/>
      <c r="I8" s="1751" t="s">
        <v>47</v>
      </c>
      <c r="J8" s="174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52"/>
      <c r="J9" s="1745"/>
    </row>
    <row r="10" spans="1:10" ht="15.75" thickTop="1" x14ac:dyDescent="0.25">
      <c r="A10" s="2"/>
      <c r="B10" s="82"/>
      <c r="C10" s="15">
        <v>9</v>
      </c>
      <c r="D10" s="147">
        <v>130.25</v>
      </c>
      <c r="E10" s="231">
        <v>45091</v>
      </c>
      <c r="F10" s="68">
        <f>D10</f>
        <v>130.25</v>
      </c>
      <c r="G10" s="69" t="s">
        <v>225</v>
      </c>
      <c r="H10" s="70">
        <v>77</v>
      </c>
      <c r="I10" s="713">
        <f>E4+E5+E6-F10+E7+E8</f>
        <v>494.26</v>
      </c>
      <c r="J10" s="723">
        <f>F4+F5+F6+F7-C10+F8</f>
        <v>36</v>
      </c>
    </row>
    <row r="11" spans="1:10" x14ac:dyDescent="0.25">
      <c r="A11" s="2"/>
      <c r="B11" s="82"/>
      <c r="C11" s="15">
        <v>4</v>
      </c>
      <c r="D11" s="147">
        <v>56.05</v>
      </c>
      <c r="E11" s="232">
        <v>45092</v>
      </c>
      <c r="F11" s="68">
        <f>D11</f>
        <v>56.05</v>
      </c>
      <c r="G11" s="69" t="s">
        <v>229</v>
      </c>
      <c r="H11" s="70">
        <v>75</v>
      </c>
      <c r="I11" s="560">
        <f>I10-F11</f>
        <v>438.21</v>
      </c>
      <c r="J11" s="723">
        <f>J10-C11</f>
        <v>32</v>
      </c>
    </row>
    <row r="12" spans="1:10" x14ac:dyDescent="0.25">
      <c r="A12" s="79" t="s">
        <v>32</v>
      </c>
      <c r="B12" s="82"/>
      <c r="C12" s="15">
        <v>10</v>
      </c>
      <c r="D12" s="147">
        <v>138.30000000000001</v>
      </c>
      <c r="E12" s="231">
        <v>45094</v>
      </c>
      <c r="F12" s="68">
        <f>D12</f>
        <v>138.30000000000001</v>
      </c>
      <c r="G12" s="69" t="s">
        <v>227</v>
      </c>
      <c r="H12" s="564">
        <v>75</v>
      </c>
      <c r="I12" s="560">
        <f t="shared" ref="I12:I40" si="0">I11-F12</f>
        <v>299.90999999999997</v>
      </c>
      <c r="J12" s="723">
        <f t="shared" ref="J12:J40" si="1">J11-C12</f>
        <v>22</v>
      </c>
    </row>
    <row r="13" spans="1:10" x14ac:dyDescent="0.25">
      <c r="A13" s="80"/>
      <c r="B13" s="82"/>
      <c r="C13" s="15">
        <v>7</v>
      </c>
      <c r="D13" s="147">
        <v>98.21</v>
      </c>
      <c r="E13" s="238">
        <v>45096</v>
      </c>
      <c r="F13" s="68">
        <f t="shared" ref="F13:F40" si="2">D13</f>
        <v>98.21</v>
      </c>
      <c r="G13" s="69" t="s">
        <v>224</v>
      </c>
      <c r="H13" s="564">
        <v>77</v>
      </c>
      <c r="I13" s="560">
        <f t="shared" si="0"/>
        <v>201.7</v>
      </c>
      <c r="J13" s="723">
        <f t="shared" si="1"/>
        <v>15</v>
      </c>
    </row>
    <row r="14" spans="1:10" x14ac:dyDescent="0.25">
      <c r="A14" s="82"/>
      <c r="B14" s="82"/>
      <c r="C14" s="15">
        <v>1</v>
      </c>
      <c r="D14" s="147">
        <v>15.33</v>
      </c>
      <c r="E14" s="238">
        <v>45096</v>
      </c>
      <c r="F14" s="68">
        <f t="shared" si="2"/>
        <v>15.33</v>
      </c>
      <c r="G14" s="69" t="s">
        <v>242</v>
      </c>
      <c r="H14" s="70">
        <v>77</v>
      </c>
      <c r="I14" s="630">
        <f t="shared" si="0"/>
        <v>186.36999999999998</v>
      </c>
      <c r="J14" s="638">
        <f t="shared" si="1"/>
        <v>14</v>
      </c>
    </row>
    <row r="15" spans="1:10" x14ac:dyDescent="0.25">
      <c r="A15" s="81" t="s">
        <v>33</v>
      </c>
      <c r="B15" s="82"/>
      <c r="C15" s="15"/>
      <c r="D15" s="1093"/>
      <c r="E15" s="1066"/>
      <c r="F15" s="68">
        <f t="shared" si="2"/>
        <v>0</v>
      </c>
      <c r="G15" s="314"/>
      <c r="H15" s="315"/>
      <c r="I15" s="560">
        <f t="shared" si="0"/>
        <v>186.36999999999998</v>
      </c>
      <c r="J15" s="723">
        <f t="shared" si="1"/>
        <v>14</v>
      </c>
    </row>
    <row r="16" spans="1:10" x14ac:dyDescent="0.25">
      <c r="A16" s="80"/>
      <c r="B16" s="82"/>
      <c r="C16" s="15">
        <v>1</v>
      </c>
      <c r="D16" s="1301">
        <v>15.15</v>
      </c>
      <c r="E16" s="1287">
        <v>45111</v>
      </c>
      <c r="F16" s="1061">
        <f t="shared" si="2"/>
        <v>15.15</v>
      </c>
      <c r="G16" s="1062" t="s">
        <v>506</v>
      </c>
      <c r="H16" s="1063">
        <v>77</v>
      </c>
      <c r="I16" s="560">
        <f t="shared" si="0"/>
        <v>171.21999999999997</v>
      </c>
      <c r="J16" s="723">
        <f t="shared" si="1"/>
        <v>13</v>
      </c>
    </row>
    <row r="17" spans="1:10" x14ac:dyDescent="0.25">
      <c r="A17" s="82"/>
      <c r="B17" s="82"/>
      <c r="C17" s="15">
        <v>4</v>
      </c>
      <c r="D17" s="1301">
        <v>54.16</v>
      </c>
      <c r="E17" s="1303">
        <v>45117</v>
      </c>
      <c r="F17" s="1061">
        <f t="shared" si="2"/>
        <v>54.16</v>
      </c>
      <c r="G17" s="1062" t="s">
        <v>552</v>
      </c>
      <c r="H17" s="1063">
        <v>77</v>
      </c>
      <c r="I17" s="560">
        <f t="shared" si="0"/>
        <v>117.05999999999997</v>
      </c>
      <c r="J17" s="723">
        <f t="shared" si="1"/>
        <v>9</v>
      </c>
    </row>
    <row r="18" spans="1:10" x14ac:dyDescent="0.25">
      <c r="A18" s="2"/>
      <c r="B18" s="82"/>
      <c r="C18" s="15">
        <v>1</v>
      </c>
      <c r="D18" s="1301">
        <v>13.93</v>
      </c>
      <c r="E18" s="1303">
        <v>45120</v>
      </c>
      <c r="F18" s="1061">
        <f t="shared" si="2"/>
        <v>13.93</v>
      </c>
      <c r="G18" s="1304" t="s">
        <v>584</v>
      </c>
      <c r="H18" s="1063">
        <v>77</v>
      </c>
      <c r="I18" s="560">
        <f t="shared" si="0"/>
        <v>103.12999999999997</v>
      </c>
      <c r="J18" s="723">
        <f t="shared" si="1"/>
        <v>8</v>
      </c>
    </row>
    <row r="19" spans="1:10" x14ac:dyDescent="0.25">
      <c r="A19" s="2"/>
      <c r="B19" s="82"/>
      <c r="C19" s="53">
        <v>8</v>
      </c>
      <c r="D19" s="1301">
        <v>103.13</v>
      </c>
      <c r="E19" s="1303">
        <v>45133</v>
      </c>
      <c r="F19" s="1061">
        <f t="shared" si="2"/>
        <v>103.13</v>
      </c>
      <c r="G19" s="1062" t="s">
        <v>695</v>
      </c>
      <c r="H19" s="1063">
        <v>77</v>
      </c>
      <c r="I19" s="560">
        <f t="shared" si="0"/>
        <v>0</v>
      </c>
      <c r="J19" s="723">
        <f t="shared" si="1"/>
        <v>0</v>
      </c>
    </row>
    <row r="20" spans="1:10" x14ac:dyDescent="0.25">
      <c r="A20" s="2"/>
      <c r="B20" s="82"/>
      <c r="C20" s="15"/>
      <c r="D20" s="1301"/>
      <c r="E20" s="1287"/>
      <c r="F20" s="1061">
        <f t="shared" si="2"/>
        <v>0</v>
      </c>
      <c r="G20" s="1062"/>
      <c r="H20" s="1063"/>
      <c r="I20" s="560">
        <f t="shared" si="0"/>
        <v>0</v>
      </c>
      <c r="J20" s="723">
        <f t="shared" si="1"/>
        <v>0</v>
      </c>
    </row>
    <row r="21" spans="1:10" x14ac:dyDescent="0.25">
      <c r="A21" s="2"/>
      <c r="B21" s="82"/>
      <c r="C21" s="15"/>
      <c r="D21" s="1301"/>
      <c r="E21" s="1287"/>
      <c r="F21" s="1061">
        <f t="shared" si="2"/>
        <v>0</v>
      </c>
      <c r="G21" s="1062"/>
      <c r="H21" s="1063"/>
      <c r="I21" s="128">
        <f t="shared" si="0"/>
        <v>0</v>
      </c>
      <c r="J21" s="123">
        <f t="shared" si="1"/>
        <v>0</v>
      </c>
    </row>
    <row r="22" spans="1:10" x14ac:dyDescent="0.25">
      <c r="A22" s="2"/>
      <c r="B22" s="82"/>
      <c r="C22" s="15"/>
      <c r="D22" s="1301"/>
      <c r="E22" s="1086"/>
      <c r="F22" s="1535">
        <f t="shared" si="2"/>
        <v>0</v>
      </c>
      <c r="G22" s="1536"/>
      <c r="H22" s="1537"/>
      <c r="I22" s="1501">
        <f t="shared" si="0"/>
        <v>0</v>
      </c>
      <c r="J22" s="1499">
        <f t="shared" si="1"/>
        <v>0</v>
      </c>
    </row>
    <row r="23" spans="1:10" x14ac:dyDescent="0.25">
      <c r="A23" s="2"/>
      <c r="B23" s="82"/>
      <c r="C23" s="15"/>
      <c r="D23" s="1301"/>
      <c r="E23" s="1086"/>
      <c r="F23" s="1535">
        <f t="shared" si="2"/>
        <v>0</v>
      </c>
      <c r="G23" s="1536"/>
      <c r="H23" s="1537"/>
      <c r="I23" s="1501">
        <f t="shared" si="0"/>
        <v>0</v>
      </c>
      <c r="J23" s="1499">
        <f t="shared" si="1"/>
        <v>0</v>
      </c>
    </row>
    <row r="24" spans="1:10" x14ac:dyDescent="0.25">
      <c r="A24" s="2"/>
      <c r="B24" s="82"/>
      <c r="C24" s="15"/>
      <c r="D24" s="1301"/>
      <c r="E24" s="1086"/>
      <c r="F24" s="1535">
        <f t="shared" si="2"/>
        <v>0</v>
      </c>
      <c r="G24" s="1536"/>
      <c r="H24" s="1537"/>
      <c r="I24" s="1501">
        <f t="shared" si="0"/>
        <v>0</v>
      </c>
      <c r="J24" s="1499">
        <f t="shared" si="1"/>
        <v>0</v>
      </c>
    </row>
    <row r="25" spans="1:10" x14ac:dyDescent="0.25">
      <c r="A25" s="2"/>
      <c r="B25" s="82"/>
      <c r="C25" s="15"/>
      <c r="D25" s="1301"/>
      <c r="E25" s="1086"/>
      <c r="F25" s="1535">
        <f t="shared" si="2"/>
        <v>0</v>
      </c>
      <c r="G25" s="1536"/>
      <c r="H25" s="1537"/>
      <c r="I25" s="1501">
        <f t="shared" si="0"/>
        <v>0</v>
      </c>
      <c r="J25" s="1499">
        <f t="shared" si="1"/>
        <v>0</v>
      </c>
    </row>
    <row r="26" spans="1:10" x14ac:dyDescent="0.25">
      <c r="A26" s="2"/>
      <c r="B26" s="82"/>
      <c r="C26" s="15"/>
      <c r="D26" s="1301"/>
      <c r="E26" s="1086"/>
      <c r="F26" s="1535">
        <f t="shared" si="2"/>
        <v>0</v>
      </c>
      <c r="G26" s="1536"/>
      <c r="H26" s="1537"/>
      <c r="I26" s="1501">
        <f t="shared" si="0"/>
        <v>0</v>
      </c>
      <c r="J26" s="1499">
        <f t="shared" si="1"/>
        <v>0</v>
      </c>
    </row>
    <row r="27" spans="1:10" x14ac:dyDescent="0.25">
      <c r="A27" s="2"/>
      <c r="B27" s="82"/>
      <c r="C27" s="15"/>
      <c r="D27" s="1301"/>
      <c r="E27" s="1086"/>
      <c r="F27" s="1061">
        <f t="shared" si="2"/>
        <v>0</v>
      </c>
      <c r="G27" s="1062"/>
      <c r="H27" s="1063"/>
      <c r="I27" s="128">
        <f t="shared" si="0"/>
        <v>0</v>
      </c>
      <c r="J27" s="123">
        <f t="shared" si="1"/>
        <v>0</v>
      </c>
    </row>
    <row r="28" spans="1:10" x14ac:dyDescent="0.25">
      <c r="A28" s="2"/>
      <c r="B28" s="82"/>
      <c r="C28" s="15"/>
      <c r="D28" s="1301"/>
      <c r="E28" s="1086"/>
      <c r="F28" s="1061">
        <f t="shared" si="2"/>
        <v>0</v>
      </c>
      <c r="G28" s="1062"/>
      <c r="H28" s="1063"/>
      <c r="I28" s="128">
        <f t="shared" si="0"/>
        <v>0</v>
      </c>
      <c r="J28" s="123">
        <f t="shared" si="1"/>
        <v>0</v>
      </c>
    </row>
    <row r="29" spans="1:10" x14ac:dyDescent="0.25">
      <c r="A29" s="2"/>
      <c r="B29" s="82"/>
      <c r="C29" s="15"/>
      <c r="D29" s="1301"/>
      <c r="E29" s="1086"/>
      <c r="F29" s="1061">
        <f t="shared" si="2"/>
        <v>0</v>
      </c>
      <c r="G29" s="1062"/>
      <c r="H29" s="1063"/>
      <c r="I29" s="128">
        <f t="shared" si="0"/>
        <v>0</v>
      </c>
      <c r="J29" s="123">
        <f t="shared" si="1"/>
        <v>0</v>
      </c>
    </row>
    <row r="30" spans="1:10" x14ac:dyDescent="0.25">
      <c r="A30" s="2"/>
      <c r="B30" s="82"/>
      <c r="C30" s="15"/>
      <c r="D30" s="1301"/>
      <c r="E30" s="1086"/>
      <c r="F30" s="1061">
        <f t="shared" si="2"/>
        <v>0</v>
      </c>
      <c r="G30" s="1062"/>
      <c r="H30" s="1063"/>
      <c r="I30" s="128">
        <f t="shared" si="0"/>
        <v>0</v>
      </c>
      <c r="J30" s="123">
        <f t="shared" si="1"/>
        <v>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0</v>
      </c>
      <c r="J31" s="123">
        <f t="shared" si="1"/>
        <v>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0</v>
      </c>
      <c r="J32" s="123">
        <f t="shared" si="1"/>
        <v>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0</v>
      </c>
      <c r="J33" s="123">
        <f t="shared" si="1"/>
        <v>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0</v>
      </c>
      <c r="J34" s="123">
        <f t="shared" si="1"/>
        <v>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0</v>
      </c>
      <c r="J35" s="123">
        <f t="shared" si="1"/>
        <v>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0</v>
      </c>
      <c r="J36" s="123">
        <f t="shared" si="1"/>
        <v>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0</v>
      </c>
      <c r="J37" s="123">
        <f t="shared" si="1"/>
        <v>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0</v>
      </c>
      <c r="J38" s="123">
        <f t="shared" si="1"/>
        <v>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60">
        <f t="shared" si="0"/>
        <v>0</v>
      </c>
      <c r="J39" s="723">
        <f t="shared" si="1"/>
        <v>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0</v>
      </c>
      <c r="J40" s="123">
        <f t="shared" si="1"/>
        <v>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45</v>
      </c>
      <c r="D43" s="147">
        <v>0</v>
      </c>
      <c r="E43" s="38"/>
      <c r="F43" s="5">
        <f>SUM(F10:F42)</f>
        <v>624.50999999999988</v>
      </c>
    </row>
    <row r="44" spans="1:10" ht="15.75" thickBot="1" x14ac:dyDescent="0.3">
      <c r="A44" s="51"/>
      <c r="D44" s="147">
        <v>0</v>
      </c>
      <c r="E44" s="67">
        <f>F4+F5+F6-+C43+F7</f>
        <v>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716" t="s">
        <v>11</v>
      </c>
      <c r="D46" s="1717"/>
      <c r="E46" s="141">
        <f>E5+E4+E6+-F43+E7</f>
        <v>1.1368683772161603E-13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9"/>
  <sheetViews>
    <sheetView workbookViewId="0">
      <selection activeCell="G15" sqref="G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68" t="s">
        <v>336</v>
      </c>
      <c r="B1" s="1668"/>
      <c r="C1" s="1668"/>
      <c r="D1" s="1668"/>
      <c r="E1" s="1668"/>
      <c r="F1" s="1668"/>
      <c r="G1" s="1668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</row>
    <row r="5" spans="1:10" ht="15" customHeight="1" thickBot="1" x14ac:dyDescent="0.3">
      <c r="A5" s="1756" t="s">
        <v>98</v>
      </c>
      <c r="B5" s="1753" t="s">
        <v>100</v>
      </c>
      <c r="C5" s="488">
        <v>65</v>
      </c>
      <c r="D5" s="130">
        <v>45112</v>
      </c>
      <c r="E5" s="889">
        <v>927.83</v>
      </c>
      <c r="F5" s="227">
        <v>35</v>
      </c>
      <c r="G5" s="143">
        <f>F46</f>
        <v>1201.22</v>
      </c>
      <c r="H5" s="57">
        <f>E4+E5+E6-G5</f>
        <v>523.70000000000005</v>
      </c>
    </row>
    <row r="6" spans="1:10" ht="17.25" thickTop="1" thickBot="1" x14ac:dyDescent="0.3">
      <c r="A6" s="1757"/>
      <c r="B6" s="1755"/>
      <c r="C6" s="212"/>
      <c r="D6" s="130"/>
      <c r="E6" s="140"/>
      <c r="F6" s="227"/>
      <c r="I6" s="1741" t="s">
        <v>3</v>
      </c>
      <c r="J6" s="1736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42"/>
      <c r="J7" s="1737"/>
    </row>
    <row r="8" spans="1:10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63" t="s">
        <v>544</v>
      </c>
      <c r="H8" s="577">
        <v>67</v>
      </c>
      <c r="I8" s="197">
        <f>E5+E4-F8+E6</f>
        <v>1514.0900000000001</v>
      </c>
      <c r="J8" s="123">
        <f>F4+F5+F6-C8</f>
        <v>57</v>
      </c>
    </row>
    <row r="9" spans="1:10" x14ac:dyDescent="0.25">
      <c r="A9" s="185"/>
      <c r="B9" s="82"/>
      <c r="C9" s="15">
        <v>9</v>
      </c>
      <c r="D9" s="168">
        <v>243.72</v>
      </c>
      <c r="E9" s="643">
        <v>45118</v>
      </c>
      <c r="F9" s="565">
        <f t="shared" si="0"/>
        <v>243.72</v>
      </c>
      <c r="G9" s="563" t="s">
        <v>563</v>
      </c>
      <c r="H9" s="577">
        <v>65</v>
      </c>
      <c r="I9" s="713">
        <f>I8-F9</f>
        <v>1270.3700000000001</v>
      </c>
      <c r="J9" s="723">
        <f>J8-C9</f>
        <v>48</v>
      </c>
    </row>
    <row r="10" spans="1:10" x14ac:dyDescent="0.25">
      <c r="A10" s="174"/>
      <c r="B10" s="82"/>
      <c r="C10" s="15">
        <v>5</v>
      </c>
      <c r="D10" s="168">
        <v>138.91</v>
      </c>
      <c r="E10" s="643">
        <v>45120</v>
      </c>
      <c r="F10" s="565">
        <f t="shared" si="0"/>
        <v>138.91</v>
      </c>
      <c r="G10" s="563" t="s">
        <v>588</v>
      </c>
      <c r="H10" s="577">
        <v>65</v>
      </c>
      <c r="I10" s="713">
        <f t="shared" ref="I10:I44" si="1">I9-F10</f>
        <v>1131.46</v>
      </c>
      <c r="J10" s="723">
        <f t="shared" ref="J10:J44" si="2">J9-C10</f>
        <v>43</v>
      </c>
    </row>
    <row r="11" spans="1:10" x14ac:dyDescent="0.25">
      <c r="A11" s="81" t="s">
        <v>33</v>
      </c>
      <c r="B11" s="82"/>
      <c r="C11" s="15">
        <v>1</v>
      </c>
      <c r="D11" s="168">
        <v>23.4</v>
      </c>
      <c r="E11" s="643">
        <v>45122</v>
      </c>
      <c r="F11" s="565">
        <f t="shared" si="0"/>
        <v>23.4</v>
      </c>
      <c r="G11" s="563" t="s">
        <v>606</v>
      </c>
      <c r="H11" s="577">
        <v>65</v>
      </c>
      <c r="I11" s="713">
        <f t="shared" si="1"/>
        <v>1108.06</v>
      </c>
      <c r="J11" s="723">
        <f t="shared" si="2"/>
        <v>42</v>
      </c>
    </row>
    <row r="12" spans="1:10" x14ac:dyDescent="0.25">
      <c r="A12" s="1146"/>
      <c r="B12" s="82"/>
      <c r="C12" s="15">
        <v>5</v>
      </c>
      <c r="D12" s="168">
        <v>128.83000000000001</v>
      </c>
      <c r="E12" s="643">
        <v>45124</v>
      </c>
      <c r="F12" s="565">
        <f t="shared" si="0"/>
        <v>128.83000000000001</v>
      </c>
      <c r="G12" s="563" t="s">
        <v>619</v>
      </c>
      <c r="H12" s="577">
        <v>63</v>
      </c>
      <c r="I12" s="713">
        <f t="shared" si="1"/>
        <v>979.2299999999999</v>
      </c>
      <c r="J12" s="723">
        <f t="shared" si="2"/>
        <v>37</v>
      </c>
    </row>
    <row r="13" spans="1:10" x14ac:dyDescent="0.25">
      <c r="A13" s="1146"/>
      <c r="B13" s="82"/>
      <c r="C13" s="15">
        <v>7</v>
      </c>
      <c r="D13" s="168">
        <v>182.14</v>
      </c>
      <c r="E13" s="640">
        <v>45126</v>
      </c>
      <c r="F13" s="565">
        <f t="shared" si="0"/>
        <v>182.14</v>
      </c>
      <c r="G13" s="563" t="s">
        <v>643</v>
      </c>
      <c r="H13" s="577">
        <v>65</v>
      </c>
      <c r="I13" s="713">
        <f t="shared" si="1"/>
        <v>797.08999999999992</v>
      </c>
      <c r="J13" s="723">
        <f t="shared" si="2"/>
        <v>30</v>
      </c>
    </row>
    <row r="14" spans="1:10" x14ac:dyDescent="0.25">
      <c r="B14" s="82"/>
      <c r="C14" s="15">
        <v>10</v>
      </c>
      <c r="D14" s="168">
        <v>273.39</v>
      </c>
      <c r="E14" s="640">
        <v>45134</v>
      </c>
      <c r="F14" s="565">
        <f>D14</f>
        <v>273.39</v>
      </c>
      <c r="G14" s="563" t="s">
        <v>706</v>
      </c>
      <c r="H14" s="577">
        <v>66</v>
      </c>
      <c r="I14" s="713">
        <f t="shared" si="1"/>
        <v>523.69999999999993</v>
      </c>
      <c r="J14" s="723">
        <f t="shared" si="2"/>
        <v>20</v>
      </c>
    </row>
    <row r="15" spans="1:10" x14ac:dyDescent="0.25">
      <c r="B15" s="82"/>
      <c r="C15" s="15"/>
      <c r="D15" s="168">
        <v>0</v>
      </c>
      <c r="E15" s="640"/>
      <c r="F15" s="565">
        <f>D15</f>
        <v>0</v>
      </c>
      <c r="G15" s="563"/>
      <c r="H15" s="577"/>
      <c r="I15" s="713">
        <f t="shared" si="1"/>
        <v>523.69999999999993</v>
      </c>
      <c r="J15" s="723">
        <f t="shared" si="2"/>
        <v>20</v>
      </c>
    </row>
    <row r="16" spans="1:10" x14ac:dyDescent="0.25">
      <c r="A16" s="80"/>
      <c r="B16" s="82"/>
      <c r="C16" s="15"/>
      <c r="D16" s="168">
        <v>0</v>
      </c>
      <c r="E16" s="646"/>
      <c r="F16" s="565">
        <f>D16</f>
        <v>0</v>
      </c>
      <c r="G16" s="563"/>
      <c r="H16" s="577"/>
      <c r="I16" s="713">
        <f t="shared" si="1"/>
        <v>523.69999999999993</v>
      </c>
      <c r="J16" s="723">
        <f t="shared" si="2"/>
        <v>20</v>
      </c>
    </row>
    <row r="17" spans="1:10" x14ac:dyDescent="0.25">
      <c r="A17" s="82"/>
      <c r="B17" s="82"/>
      <c r="C17" s="15"/>
      <c r="D17" s="168">
        <v>0</v>
      </c>
      <c r="E17" s="238"/>
      <c r="F17" s="68">
        <f t="shared" ref="F17:F45" si="3">D17</f>
        <v>0</v>
      </c>
      <c r="G17" s="375"/>
      <c r="H17" s="577"/>
      <c r="I17" s="713">
        <f t="shared" si="1"/>
        <v>523.69999999999993</v>
      </c>
      <c r="J17" s="723">
        <f t="shared" si="2"/>
        <v>20</v>
      </c>
    </row>
    <row r="18" spans="1:10" x14ac:dyDescent="0.25">
      <c r="A18" s="2"/>
      <c r="B18" s="82"/>
      <c r="C18" s="15"/>
      <c r="D18" s="168">
        <v>0</v>
      </c>
      <c r="E18" s="238"/>
      <c r="F18" s="68">
        <f t="shared" si="3"/>
        <v>0</v>
      </c>
      <c r="G18" s="69"/>
      <c r="H18" s="577"/>
      <c r="I18" s="713">
        <f t="shared" si="1"/>
        <v>523.69999999999993</v>
      </c>
      <c r="J18" s="723">
        <f t="shared" si="2"/>
        <v>20</v>
      </c>
    </row>
    <row r="19" spans="1:10" x14ac:dyDescent="0.25">
      <c r="A19" s="2"/>
      <c r="B19" s="82"/>
      <c r="C19" s="15"/>
      <c r="D19" s="168">
        <v>0</v>
      </c>
      <c r="E19" s="238"/>
      <c r="F19" s="68">
        <f t="shared" si="3"/>
        <v>0</v>
      </c>
      <c r="G19" s="69"/>
      <c r="H19" s="124"/>
      <c r="I19" s="197">
        <f t="shared" si="1"/>
        <v>523.69999999999993</v>
      </c>
      <c r="J19" s="123">
        <f t="shared" si="2"/>
        <v>20</v>
      </c>
    </row>
    <row r="20" spans="1:10" x14ac:dyDescent="0.25">
      <c r="A20" s="2"/>
      <c r="B20" s="82"/>
      <c r="C20" s="15"/>
      <c r="D20" s="168">
        <v>0</v>
      </c>
      <c r="E20" s="238"/>
      <c r="F20" s="68">
        <f t="shared" si="3"/>
        <v>0</v>
      </c>
      <c r="G20" s="69"/>
      <c r="H20" s="124"/>
      <c r="I20" s="197">
        <f t="shared" si="1"/>
        <v>523.69999999999993</v>
      </c>
      <c r="J20" s="123">
        <f t="shared" si="2"/>
        <v>20</v>
      </c>
    </row>
    <row r="21" spans="1:10" x14ac:dyDescent="0.25">
      <c r="A21" s="2"/>
      <c r="B21" s="82"/>
      <c r="C21" s="15"/>
      <c r="D21" s="168">
        <v>0</v>
      </c>
      <c r="E21" s="238"/>
      <c r="F21" s="68">
        <f t="shared" si="3"/>
        <v>0</v>
      </c>
      <c r="G21" s="69"/>
      <c r="H21" s="124"/>
      <c r="I21" s="197">
        <f t="shared" si="1"/>
        <v>523.69999999999993</v>
      </c>
      <c r="J21" s="123">
        <f t="shared" si="2"/>
        <v>20</v>
      </c>
    </row>
    <row r="22" spans="1:10" x14ac:dyDescent="0.25">
      <c r="A22" s="2"/>
      <c r="B22" s="82"/>
      <c r="C22" s="15"/>
      <c r="D22" s="168">
        <v>0</v>
      </c>
      <c r="E22" s="238"/>
      <c r="F22" s="68">
        <f t="shared" si="3"/>
        <v>0</v>
      </c>
      <c r="G22" s="69"/>
      <c r="H22" s="124"/>
      <c r="I22" s="197">
        <f t="shared" si="1"/>
        <v>523.69999999999993</v>
      </c>
      <c r="J22" s="123">
        <f t="shared" si="2"/>
        <v>20</v>
      </c>
    </row>
    <row r="23" spans="1:10" x14ac:dyDescent="0.25">
      <c r="A23" s="2"/>
      <c r="B23" s="82"/>
      <c r="C23" s="15"/>
      <c r="D23" s="168">
        <v>0</v>
      </c>
      <c r="E23" s="238"/>
      <c r="F23" s="68">
        <f t="shared" si="3"/>
        <v>0</v>
      </c>
      <c r="G23" s="69"/>
      <c r="H23" s="124"/>
      <c r="I23" s="197">
        <f t="shared" si="1"/>
        <v>523.69999999999993</v>
      </c>
      <c r="J23" s="123">
        <f t="shared" si="2"/>
        <v>20</v>
      </c>
    </row>
    <row r="24" spans="1:10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523.69999999999993</v>
      </c>
      <c r="J24" s="123">
        <f t="shared" si="2"/>
        <v>20</v>
      </c>
    </row>
    <row r="25" spans="1:10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523.69999999999993</v>
      </c>
      <c r="J25" s="123">
        <f t="shared" si="2"/>
        <v>20</v>
      </c>
    </row>
    <row r="26" spans="1:10" x14ac:dyDescent="0.25">
      <c r="A26" s="2"/>
      <c r="B26" s="82"/>
      <c r="C26" s="15"/>
      <c r="D26" s="168">
        <v>0</v>
      </c>
      <c r="E26" s="238"/>
      <c r="F26" s="68">
        <f t="shared" si="3"/>
        <v>0</v>
      </c>
      <c r="G26" s="69"/>
      <c r="H26" s="124"/>
      <c r="I26" s="197">
        <f t="shared" si="1"/>
        <v>523.69999999999993</v>
      </c>
      <c r="J26" s="123">
        <f t="shared" si="2"/>
        <v>20</v>
      </c>
    </row>
    <row r="27" spans="1:10" x14ac:dyDescent="0.25">
      <c r="A27" s="2"/>
      <c r="B27" s="82"/>
      <c r="C27" s="15"/>
      <c r="D27" s="168">
        <v>0</v>
      </c>
      <c r="E27" s="238"/>
      <c r="F27" s="68">
        <f t="shared" si="3"/>
        <v>0</v>
      </c>
      <c r="G27" s="69"/>
      <c r="H27" s="124"/>
      <c r="I27" s="197">
        <f t="shared" si="1"/>
        <v>523.69999999999993</v>
      </c>
      <c r="J27" s="123">
        <f t="shared" si="2"/>
        <v>20</v>
      </c>
    </row>
    <row r="28" spans="1:10" x14ac:dyDescent="0.25">
      <c r="A28" s="2"/>
      <c r="B28" s="82"/>
      <c r="C28" s="15"/>
      <c r="D28" s="168">
        <v>0</v>
      </c>
      <c r="E28" s="238"/>
      <c r="F28" s="68">
        <f t="shared" si="3"/>
        <v>0</v>
      </c>
      <c r="G28" s="69"/>
      <c r="H28" s="124"/>
      <c r="I28" s="197">
        <f t="shared" si="1"/>
        <v>523.69999999999993</v>
      </c>
      <c r="J28" s="123">
        <f t="shared" si="2"/>
        <v>20</v>
      </c>
    </row>
    <row r="29" spans="1:10" x14ac:dyDescent="0.25">
      <c r="A29" s="2"/>
      <c r="B29" s="82"/>
      <c r="C29" s="15"/>
      <c r="D29" s="168">
        <v>0</v>
      </c>
      <c r="E29" s="238"/>
      <c r="F29" s="68">
        <f t="shared" si="3"/>
        <v>0</v>
      </c>
      <c r="G29" s="69"/>
      <c r="H29" s="124"/>
      <c r="I29" s="197">
        <f t="shared" si="1"/>
        <v>523.69999999999993</v>
      </c>
      <c r="J29" s="123">
        <f t="shared" si="2"/>
        <v>20</v>
      </c>
    </row>
    <row r="30" spans="1:10" x14ac:dyDescent="0.25">
      <c r="A30" s="2"/>
      <c r="B30" s="82"/>
      <c r="C30" s="15"/>
      <c r="D30" s="168">
        <v>0</v>
      </c>
      <c r="E30" s="238"/>
      <c r="F30" s="68">
        <f t="shared" si="3"/>
        <v>0</v>
      </c>
      <c r="G30" s="69"/>
      <c r="H30" s="124"/>
      <c r="I30" s="197">
        <f t="shared" si="1"/>
        <v>523.69999999999993</v>
      </c>
      <c r="J30" s="123">
        <f t="shared" si="2"/>
        <v>20</v>
      </c>
    </row>
    <row r="31" spans="1:10" x14ac:dyDescent="0.25">
      <c r="A31" s="2"/>
      <c r="B31" s="82"/>
      <c r="C31" s="15"/>
      <c r="D31" s="168">
        <v>0</v>
      </c>
      <c r="E31" s="238"/>
      <c r="F31" s="68">
        <f t="shared" si="3"/>
        <v>0</v>
      </c>
      <c r="G31" s="69"/>
      <c r="H31" s="124"/>
      <c r="I31" s="197">
        <f t="shared" si="1"/>
        <v>523.69999999999993</v>
      </c>
      <c r="J31" s="123">
        <f t="shared" si="2"/>
        <v>20</v>
      </c>
    </row>
    <row r="32" spans="1:10" x14ac:dyDescent="0.25">
      <c r="A32" s="2"/>
      <c r="B32" s="82"/>
      <c r="C32" s="15"/>
      <c r="D32" s="168">
        <v>0</v>
      </c>
      <c r="E32" s="238"/>
      <c r="F32" s="68">
        <f t="shared" si="3"/>
        <v>0</v>
      </c>
      <c r="G32" s="69"/>
      <c r="H32" s="124"/>
      <c r="I32" s="197">
        <f t="shared" si="1"/>
        <v>523.69999999999993</v>
      </c>
      <c r="J32" s="123">
        <f t="shared" si="2"/>
        <v>20</v>
      </c>
    </row>
    <row r="33" spans="1:10" x14ac:dyDescent="0.25">
      <c r="A33" s="2"/>
      <c r="B33" s="82"/>
      <c r="C33" s="15"/>
      <c r="D33" s="168">
        <v>0</v>
      </c>
      <c r="E33" s="238"/>
      <c r="F33" s="68">
        <f t="shared" si="3"/>
        <v>0</v>
      </c>
      <c r="G33" s="69"/>
      <c r="H33" s="124"/>
      <c r="I33" s="197">
        <f t="shared" si="1"/>
        <v>523.69999999999993</v>
      </c>
      <c r="J33" s="123">
        <f t="shared" si="2"/>
        <v>20</v>
      </c>
    </row>
    <row r="34" spans="1:10" x14ac:dyDescent="0.25">
      <c r="A34" s="2"/>
      <c r="B34" s="82"/>
      <c r="C34" s="15"/>
      <c r="D34" s="168">
        <v>0</v>
      </c>
      <c r="E34" s="238"/>
      <c r="F34" s="68">
        <f t="shared" si="3"/>
        <v>0</v>
      </c>
      <c r="G34" s="69"/>
      <c r="H34" s="124"/>
      <c r="I34" s="197">
        <f t="shared" si="1"/>
        <v>523.69999999999993</v>
      </c>
      <c r="J34" s="123">
        <f t="shared" si="2"/>
        <v>20</v>
      </c>
    </row>
    <row r="35" spans="1:10" x14ac:dyDescent="0.25">
      <c r="A35" s="2"/>
      <c r="B35" s="82"/>
      <c r="C35" s="15"/>
      <c r="D35" s="168">
        <v>0</v>
      </c>
      <c r="E35" s="238"/>
      <c r="F35" s="68">
        <f t="shared" si="3"/>
        <v>0</v>
      </c>
      <c r="G35" s="69"/>
      <c r="H35" s="124"/>
      <c r="I35" s="197">
        <f t="shared" si="1"/>
        <v>523.69999999999993</v>
      </c>
      <c r="J35" s="123">
        <f t="shared" si="2"/>
        <v>20</v>
      </c>
    </row>
    <row r="36" spans="1:10" x14ac:dyDescent="0.25">
      <c r="A36" s="2"/>
      <c r="B36" s="82"/>
      <c r="C36" s="15"/>
      <c r="D36" s="168">
        <v>0</v>
      </c>
      <c r="E36" s="231"/>
      <c r="F36" s="68">
        <f t="shared" si="3"/>
        <v>0</v>
      </c>
      <c r="G36" s="69"/>
      <c r="H36" s="124"/>
      <c r="I36" s="197">
        <f t="shared" si="1"/>
        <v>523.69999999999993</v>
      </c>
      <c r="J36" s="123">
        <f t="shared" si="2"/>
        <v>20</v>
      </c>
    </row>
    <row r="37" spans="1:10" x14ac:dyDescent="0.25">
      <c r="A37" s="2"/>
      <c r="B37" s="82"/>
      <c r="C37" s="15"/>
      <c r="D37" s="168">
        <v>0</v>
      </c>
      <c r="E37" s="231"/>
      <c r="F37" s="68">
        <f t="shared" si="3"/>
        <v>0</v>
      </c>
      <c r="G37" s="69"/>
      <c r="H37" s="124"/>
      <c r="I37" s="197">
        <f t="shared" si="1"/>
        <v>523.69999999999993</v>
      </c>
      <c r="J37" s="123">
        <f t="shared" si="2"/>
        <v>20</v>
      </c>
    </row>
    <row r="38" spans="1:10" x14ac:dyDescent="0.25">
      <c r="A38" s="2"/>
      <c r="B38" s="82"/>
      <c r="C38" s="15"/>
      <c r="D38" s="168">
        <v>0</v>
      </c>
      <c r="E38" s="231"/>
      <c r="F38" s="68">
        <f t="shared" si="3"/>
        <v>0</v>
      </c>
      <c r="G38" s="69"/>
      <c r="H38" s="124"/>
      <c r="I38" s="197">
        <f t="shared" si="1"/>
        <v>523.69999999999993</v>
      </c>
      <c r="J38" s="123">
        <f t="shared" si="2"/>
        <v>20</v>
      </c>
    </row>
    <row r="39" spans="1:10" x14ac:dyDescent="0.25">
      <c r="A39" s="2"/>
      <c r="B39" s="82"/>
      <c r="C39" s="15"/>
      <c r="D39" s="168">
        <v>0</v>
      </c>
      <c r="E39" s="231"/>
      <c r="F39" s="68">
        <f t="shared" si="3"/>
        <v>0</v>
      </c>
      <c r="G39" s="69"/>
      <c r="H39" s="124"/>
      <c r="I39" s="197">
        <f t="shared" si="1"/>
        <v>523.69999999999993</v>
      </c>
      <c r="J39" s="123">
        <f t="shared" si="2"/>
        <v>20</v>
      </c>
    </row>
    <row r="40" spans="1:10" x14ac:dyDescent="0.25">
      <c r="A40" s="2"/>
      <c r="B40" s="82"/>
      <c r="C40" s="15"/>
      <c r="D40" s="168">
        <v>0</v>
      </c>
      <c r="E40" s="238"/>
      <c r="F40" s="68">
        <f t="shared" si="3"/>
        <v>0</v>
      </c>
      <c r="G40" s="69"/>
      <c r="H40" s="124"/>
      <c r="I40" s="197">
        <f t="shared" si="1"/>
        <v>523.69999999999993</v>
      </c>
      <c r="J40" s="123">
        <f t="shared" si="2"/>
        <v>20</v>
      </c>
    </row>
    <row r="41" spans="1:10" x14ac:dyDescent="0.25">
      <c r="A41" s="2"/>
      <c r="B41" s="82"/>
      <c r="C41" s="15"/>
      <c r="D41" s="168">
        <v>0</v>
      </c>
      <c r="E41" s="238"/>
      <c r="F41" s="68">
        <f t="shared" si="3"/>
        <v>0</v>
      </c>
      <c r="G41" s="69"/>
      <c r="H41" s="124"/>
      <c r="I41" s="197">
        <f t="shared" si="1"/>
        <v>523.69999999999993</v>
      </c>
      <c r="J41" s="123">
        <f t="shared" si="2"/>
        <v>20</v>
      </c>
    </row>
    <row r="42" spans="1:10" x14ac:dyDescent="0.25">
      <c r="A42" s="2"/>
      <c r="B42" s="82"/>
      <c r="C42" s="15"/>
      <c r="D42" s="168">
        <v>0</v>
      </c>
      <c r="E42" s="232"/>
      <c r="F42" s="68">
        <f t="shared" si="3"/>
        <v>0</v>
      </c>
      <c r="G42" s="69"/>
      <c r="H42" s="70"/>
      <c r="I42" s="197">
        <f t="shared" si="1"/>
        <v>523.69999999999993</v>
      </c>
      <c r="J42" s="123">
        <f t="shared" si="2"/>
        <v>20</v>
      </c>
    </row>
    <row r="43" spans="1:10" x14ac:dyDescent="0.25">
      <c r="A43" s="2"/>
      <c r="B43" s="82"/>
      <c r="C43" s="15"/>
      <c r="D43" s="168">
        <v>0</v>
      </c>
      <c r="E43" s="232"/>
      <c r="F43" s="68">
        <f t="shared" si="3"/>
        <v>0</v>
      </c>
      <c r="G43" s="69"/>
      <c r="H43" s="70"/>
      <c r="I43" s="197">
        <f t="shared" si="1"/>
        <v>523.69999999999993</v>
      </c>
      <c r="J43" s="123">
        <f t="shared" si="2"/>
        <v>20</v>
      </c>
    </row>
    <row r="44" spans="1:10" x14ac:dyDescent="0.25">
      <c r="A44" s="2"/>
      <c r="B44" s="82"/>
      <c r="C44" s="15"/>
      <c r="D44" s="168">
        <v>0</v>
      </c>
      <c r="E44" s="232"/>
      <c r="F44" s="68">
        <f t="shared" si="3"/>
        <v>0</v>
      </c>
      <c r="G44" s="69"/>
      <c r="H44" s="70"/>
      <c r="I44" s="197">
        <f t="shared" si="1"/>
        <v>523.69999999999993</v>
      </c>
      <c r="J44" s="123">
        <f t="shared" si="2"/>
        <v>20</v>
      </c>
    </row>
    <row r="45" spans="1:10" ht="15.75" thickBot="1" x14ac:dyDescent="0.3">
      <c r="A45" s="4"/>
      <c r="B45" s="82"/>
      <c r="C45" s="37"/>
      <c r="D45" s="177"/>
      <c r="E45" s="153"/>
      <c r="F45" s="146">
        <f t="shared" si="3"/>
        <v>0</v>
      </c>
      <c r="G45" s="135"/>
      <c r="H45" s="70"/>
      <c r="J45" s="1146"/>
    </row>
    <row r="46" spans="1:10" ht="16.5" thickTop="1" thickBot="1" x14ac:dyDescent="0.3">
      <c r="C46" s="89">
        <f>SUM(C8:C45)</f>
        <v>45</v>
      </c>
      <c r="D46" s="48">
        <f>SUM(D8:D45)</f>
        <v>1201.22</v>
      </c>
      <c r="E46" s="38"/>
      <c r="F46" s="5">
        <f>SUM(F8:F45)</f>
        <v>1201.22</v>
      </c>
      <c r="J46" s="1146"/>
    </row>
    <row r="47" spans="1:10" ht="15.75" thickBot="1" x14ac:dyDescent="0.3">
      <c r="A47" s="51"/>
      <c r="D47" s="110" t="s">
        <v>4</v>
      </c>
      <c r="E47" s="67">
        <f>F4+F5+F6-+C46</f>
        <v>20</v>
      </c>
      <c r="J47" s="1146"/>
    </row>
    <row r="48" spans="1:10" ht="15.75" thickBot="1" x14ac:dyDescent="0.3">
      <c r="A48" s="115"/>
    </row>
    <row r="49" spans="1:5" ht="16.5" thickTop="1" thickBot="1" x14ac:dyDescent="0.3">
      <c r="A49" s="47"/>
      <c r="C49" s="1716" t="s">
        <v>11</v>
      </c>
      <c r="D49" s="1717"/>
      <c r="E49" s="141">
        <f>E5+E4+E6+-F46</f>
        <v>523.70000000000005</v>
      </c>
    </row>
  </sheetData>
  <mergeCells count="6"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K1" workbookViewId="0">
      <selection activeCell="V20" sqref="V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63" t="s">
        <v>325</v>
      </c>
      <c r="B1" s="1663"/>
      <c r="C1" s="1663"/>
      <c r="D1" s="1663"/>
      <c r="E1" s="1663"/>
      <c r="F1" s="1663"/>
      <c r="G1" s="1663"/>
      <c r="H1" s="96">
        <v>1</v>
      </c>
      <c r="L1" s="1668" t="s">
        <v>443</v>
      </c>
      <c r="M1" s="1668"/>
      <c r="N1" s="1668"/>
      <c r="O1" s="1668"/>
      <c r="P1" s="1668"/>
      <c r="Q1" s="1668"/>
      <c r="R1" s="1668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8"/>
      <c r="D4" s="895"/>
      <c r="E4" s="225"/>
      <c r="F4" s="226"/>
      <c r="L4" s="74"/>
      <c r="M4" s="140"/>
      <c r="N4" s="488"/>
      <c r="O4" s="895"/>
      <c r="P4" s="225"/>
      <c r="Q4" s="226"/>
    </row>
    <row r="5" spans="1:21" ht="16.5" customHeight="1" thickBot="1" x14ac:dyDescent="0.3">
      <c r="A5" s="1756" t="s">
        <v>98</v>
      </c>
      <c r="B5" s="1753" t="s">
        <v>113</v>
      </c>
      <c r="C5" s="488">
        <v>228</v>
      </c>
      <c r="D5" s="895">
        <v>45099</v>
      </c>
      <c r="E5" s="889">
        <v>594.19000000000005</v>
      </c>
      <c r="F5" s="227">
        <v>18</v>
      </c>
      <c r="G5" s="143">
        <f>F30</f>
        <v>594.19000000000005</v>
      </c>
      <c r="H5" s="57">
        <f>E4+E5+E6-G5</f>
        <v>0</v>
      </c>
      <c r="L5" s="1756" t="s">
        <v>98</v>
      </c>
      <c r="M5" s="1753" t="s">
        <v>113</v>
      </c>
      <c r="N5" s="488">
        <v>228</v>
      </c>
      <c r="O5" s="895">
        <v>45133</v>
      </c>
      <c r="P5" s="889">
        <v>453.13</v>
      </c>
      <c r="Q5" s="227">
        <v>14</v>
      </c>
      <c r="R5" s="143">
        <f>Q30</f>
        <v>124.69</v>
      </c>
      <c r="S5" s="57">
        <f>P4+P5+P6-R5</f>
        <v>328.44</v>
      </c>
    </row>
    <row r="6" spans="1:21" ht="17.25" thickTop="1" thickBot="1" x14ac:dyDescent="0.3">
      <c r="A6" s="1757"/>
      <c r="B6" s="1755"/>
      <c r="C6" s="212"/>
      <c r="D6" s="895"/>
      <c r="E6" s="140"/>
      <c r="F6" s="227"/>
      <c r="I6" s="1741" t="s">
        <v>3</v>
      </c>
      <c r="J6" s="1736" t="s">
        <v>4</v>
      </c>
      <c r="L6" s="1757"/>
      <c r="M6" s="1755"/>
      <c r="N6" s="212"/>
      <c r="O6" s="895"/>
      <c r="P6" s="140"/>
      <c r="Q6" s="227"/>
      <c r="T6" s="1760" t="s">
        <v>3</v>
      </c>
      <c r="U6" s="1758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42"/>
      <c r="J7" s="1737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61"/>
      <c r="U7" s="1759"/>
    </row>
    <row r="8" spans="1:21" ht="15.75" thickTop="1" x14ac:dyDescent="0.25">
      <c r="A8" s="79" t="s">
        <v>32</v>
      </c>
      <c r="B8" s="82"/>
      <c r="C8" s="15">
        <v>1</v>
      </c>
      <c r="D8" s="168">
        <v>31.39</v>
      </c>
      <c r="E8" s="232">
        <v>45103</v>
      </c>
      <c r="F8" s="68">
        <f t="shared" ref="F8:F9" si="0">D8</f>
        <v>31.39</v>
      </c>
      <c r="G8" s="563" t="s">
        <v>268</v>
      </c>
      <c r="H8" s="577">
        <v>230</v>
      </c>
      <c r="I8" s="637">
        <f>E5+E4-F8+E6</f>
        <v>562.80000000000007</v>
      </c>
      <c r="J8" s="638">
        <f>F4+F5+F6-C8</f>
        <v>17</v>
      </c>
      <c r="L8" s="79" t="s">
        <v>32</v>
      </c>
      <c r="M8" s="82"/>
      <c r="N8" s="15">
        <v>4</v>
      </c>
      <c r="O8" s="168">
        <v>124.69</v>
      </c>
      <c r="P8" s="232">
        <v>45134</v>
      </c>
      <c r="Q8" s="68">
        <f t="shared" ref="Q8:Q29" si="1">O8</f>
        <v>124.69</v>
      </c>
      <c r="R8" s="563" t="s">
        <v>703</v>
      </c>
      <c r="S8" s="577">
        <v>230</v>
      </c>
      <c r="T8" s="713">
        <f>P5+P4-Q8+P6</f>
        <v>328.44</v>
      </c>
      <c r="U8" s="723">
        <f>Q4+Q5+Q6-N8</f>
        <v>10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63"/>
      <c r="H9" s="577"/>
      <c r="I9" s="713">
        <f>I8-F9</f>
        <v>562.80000000000007</v>
      </c>
      <c r="J9" s="723">
        <f>J8-C9</f>
        <v>17</v>
      </c>
      <c r="L9" s="185"/>
      <c r="M9" s="82"/>
      <c r="N9" s="15"/>
      <c r="O9" s="168">
        <v>0</v>
      </c>
      <c r="P9" s="232"/>
      <c r="Q9" s="68">
        <f t="shared" si="1"/>
        <v>0</v>
      </c>
      <c r="R9" s="563"/>
      <c r="S9" s="577"/>
      <c r="T9" s="713">
        <f>T8-Q9</f>
        <v>328.44</v>
      </c>
      <c r="U9" s="723">
        <f>U8-N9</f>
        <v>10</v>
      </c>
    </row>
    <row r="10" spans="1:21" x14ac:dyDescent="0.25">
      <c r="A10" s="174"/>
      <c r="B10" s="82"/>
      <c r="C10" s="15">
        <v>4</v>
      </c>
      <c r="D10" s="1048">
        <v>128.41999999999999</v>
      </c>
      <c r="E10" s="978">
        <v>45110</v>
      </c>
      <c r="F10" s="801">
        <f t="shared" ref="F10:F22" si="2">D10</f>
        <v>128.41999999999999</v>
      </c>
      <c r="G10" s="803" t="s">
        <v>497</v>
      </c>
      <c r="H10" s="1049">
        <v>230</v>
      </c>
      <c r="I10" s="713">
        <f t="shared" ref="I10:I28" si="3">I9-F10</f>
        <v>434.38000000000011</v>
      </c>
      <c r="J10" s="723">
        <f t="shared" ref="J10:J28" si="4">J9-C10</f>
        <v>13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63"/>
      <c r="S10" s="577"/>
      <c r="T10" s="713">
        <f t="shared" ref="T10:T28" si="5">T9-Q10</f>
        <v>328.44</v>
      </c>
      <c r="U10" s="723">
        <f t="shared" ref="U10:U28" si="6">U9-N10</f>
        <v>10</v>
      </c>
    </row>
    <row r="11" spans="1:21" x14ac:dyDescent="0.25">
      <c r="A11" s="81" t="s">
        <v>33</v>
      </c>
      <c r="B11" s="82"/>
      <c r="C11" s="15">
        <v>8</v>
      </c>
      <c r="D11" s="1048">
        <v>260.06</v>
      </c>
      <c r="E11" s="978">
        <v>45122</v>
      </c>
      <c r="F11" s="801">
        <f t="shared" si="2"/>
        <v>260.06</v>
      </c>
      <c r="G11" s="803" t="s">
        <v>614</v>
      </c>
      <c r="H11" s="1049">
        <v>230</v>
      </c>
      <c r="I11" s="713">
        <f t="shared" si="3"/>
        <v>174.32000000000011</v>
      </c>
      <c r="J11" s="723">
        <f t="shared" si="4"/>
        <v>5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63"/>
      <c r="S11" s="577"/>
      <c r="T11" s="713">
        <f t="shared" si="5"/>
        <v>328.44</v>
      </c>
      <c r="U11" s="723">
        <f t="shared" si="6"/>
        <v>10</v>
      </c>
    </row>
    <row r="12" spans="1:21" x14ac:dyDescent="0.25">
      <c r="A12" s="72"/>
      <c r="B12" s="82"/>
      <c r="C12" s="15">
        <v>5</v>
      </c>
      <c r="D12" s="1048">
        <v>174.32</v>
      </c>
      <c r="E12" s="978">
        <v>45124</v>
      </c>
      <c r="F12" s="801">
        <f t="shared" si="2"/>
        <v>174.32</v>
      </c>
      <c r="G12" s="803" t="s">
        <v>617</v>
      </c>
      <c r="H12" s="1049">
        <v>230</v>
      </c>
      <c r="I12" s="713">
        <f t="shared" si="3"/>
        <v>0</v>
      </c>
      <c r="J12" s="723">
        <f t="shared" si="4"/>
        <v>0</v>
      </c>
      <c r="L12" s="1425"/>
      <c r="M12" s="82"/>
      <c r="N12" s="15"/>
      <c r="O12" s="168">
        <v>0</v>
      </c>
      <c r="P12" s="232"/>
      <c r="Q12" s="68">
        <f t="shared" si="1"/>
        <v>0</v>
      </c>
      <c r="R12" s="563"/>
      <c r="S12" s="577"/>
      <c r="T12" s="713">
        <f t="shared" si="5"/>
        <v>328.44</v>
      </c>
      <c r="U12" s="723">
        <f t="shared" si="6"/>
        <v>10</v>
      </c>
    </row>
    <row r="13" spans="1:21" x14ac:dyDescent="0.25">
      <c r="A13" s="72"/>
      <c r="B13" s="82"/>
      <c r="C13" s="15"/>
      <c r="D13" s="1048">
        <v>0</v>
      </c>
      <c r="E13" s="978"/>
      <c r="F13" s="801">
        <f t="shared" si="2"/>
        <v>0</v>
      </c>
      <c r="G13" s="803"/>
      <c r="H13" s="1049"/>
      <c r="I13" s="713">
        <f t="shared" si="3"/>
        <v>0</v>
      </c>
      <c r="J13" s="723">
        <f t="shared" si="4"/>
        <v>0</v>
      </c>
      <c r="L13" s="1425"/>
      <c r="M13" s="82"/>
      <c r="N13" s="15"/>
      <c r="O13" s="168">
        <v>0</v>
      </c>
      <c r="P13" s="232"/>
      <c r="Q13" s="68">
        <f t="shared" si="1"/>
        <v>0</v>
      </c>
      <c r="R13" s="563"/>
      <c r="S13" s="577"/>
      <c r="T13" s="713">
        <f t="shared" si="5"/>
        <v>328.44</v>
      </c>
      <c r="U13" s="723">
        <f t="shared" si="6"/>
        <v>10</v>
      </c>
    </row>
    <row r="14" spans="1:21" x14ac:dyDescent="0.25">
      <c r="B14" s="82"/>
      <c r="C14" s="15"/>
      <c r="D14" s="1048">
        <v>0</v>
      </c>
      <c r="E14" s="978"/>
      <c r="F14" s="1521">
        <f t="shared" si="2"/>
        <v>0</v>
      </c>
      <c r="G14" s="1522"/>
      <c r="H14" s="1523"/>
      <c r="I14" s="1498">
        <f t="shared" si="3"/>
        <v>0</v>
      </c>
      <c r="J14" s="1499">
        <f t="shared" si="4"/>
        <v>0</v>
      </c>
      <c r="M14" s="82"/>
      <c r="N14" s="15"/>
      <c r="O14" s="168">
        <v>0</v>
      </c>
      <c r="P14" s="232"/>
      <c r="Q14" s="68">
        <f t="shared" si="1"/>
        <v>0</v>
      </c>
      <c r="R14" s="563"/>
      <c r="S14" s="577"/>
      <c r="T14" s="713">
        <f t="shared" si="5"/>
        <v>328.44</v>
      </c>
      <c r="U14" s="723">
        <f t="shared" si="6"/>
        <v>10</v>
      </c>
    </row>
    <row r="15" spans="1:21" x14ac:dyDescent="0.25">
      <c r="B15" s="82"/>
      <c r="C15" s="15"/>
      <c r="D15" s="1048">
        <v>0</v>
      </c>
      <c r="E15" s="978"/>
      <c r="F15" s="1521">
        <f t="shared" si="2"/>
        <v>0</v>
      </c>
      <c r="G15" s="1522"/>
      <c r="H15" s="1523"/>
      <c r="I15" s="1498">
        <f t="shared" si="3"/>
        <v>0</v>
      </c>
      <c r="J15" s="1499">
        <f t="shared" si="4"/>
        <v>0</v>
      </c>
      <c r="M15" s="82"/>
      <c r="N15" s="15"/>
      <c r="O15" s="168">
        <v>0</v>
      </c>
      <c r="P15" s="232"/>
      <c r="Q15" s="68">
        <f t="shared" si="1"/>
        <v>0</v>
      </c>
      <c r="R15" s="563"/>
      <c r="S15" s="577"/>
      <c r="T15" s="713">
        <f t="shared" si="5"/>
        <v>328.44</v>
      </c>
      <c r="U15" s="723">
        <f t="shared" si="6"/>
        <v>10</v>
      </c>
    </row>
    <row r="16" spans="1:21" x14ac:dyDescent="0.25">
      <c r="A16" s="80"/>
      <c r="B16" s="82"/>
      <c r="C16" s="15"/>
      <c r="D16" s="1048">
        <v>0</v>
      </c>
      <c r="E16" s="978"/>
      <c r="F16" s="1521">
        <f t="shared" si="2"/>
        <v>0</v>
      </c>
      <c r="G16" s="1522"/>
      <c r="H16" s="1523"/>
      <c r="I16" s="1498">
        <f t="shared" si="3"/>
        <v>0</v>
      </c>
      <c r="J16" s="1499">
        <f t="shared" si="4"/>
        <v>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63"/>
      <c r="S16" s="577"/>
      <c r="T16" s="713">
        <f t="shared" si="5"/>
        <v>328.44</v>
      </c>
      <c r="U16" s="723">
        <f t="shared" si="6"/>
        <v>10</v>
      </c>
    </row>
    <row r="17" spans="1:21" x14ac:dyDescent="0.25">
      <c r="A17" s="82"/>
      <c r="B17" s="82"/>
      <c r="C17" s="15"/>
      <c r="D17" s="1048">
        <v>0</v>
      </c>
      <c r="E17" s="978"/>
      <c r="F17" s="1521">
        <f t="shared" si="2"/>
        <v>0</v>
      </c>
      <c r="G17" s="1524"/>
      <c r="H17" s="1523"/>
      <c r="I17" s="1498">
        <f t="shared" si="3"/>
        <v>0</v>
      </c>
      <c r="J17" s="1499">
        <f t="shared" si="4"/>
        <v>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38"/>
      <c r="S17" s="577"/>
      <c r="T17" s="713">
        <f t="shared" si="5"/>
        <v>328.44</v>
      </c>
      <c r="U17" s="723">
        <f t="shared" si="6"/>
        <v>10</v>
      </c>
    </row>
    <row r="18" spans="1:21" x14ac:dyDescent="0.25">
      <c r="A18" s="2"/>
      <c r="B18" s="82"/>
      <c r="C18" s="15"/>
      <c r="D18" s="1048">
        <v>0</v>
      </c>
      <c r="E18" s="978"/>
      <c r="F18" s="1521">
        <f t="shared" si="2"/>
        <v>0</v>
      </c>
      <c r="G18" s="1522"/>
      <c r="H18" s="1523"/>
      <c r="I18" s="1498">
        <f t="shared" si="3"/>
        <v>0</v>
      </c>
      <c r="J18" s="1499">
        <f t="shared" si="4"/>
        <v>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5"/>
        <v>328.44</v>
      </c>
      <c r="U18" s="123">
        <f t="shared" si="6"/>
        <v>10</v>
      </c>
    </row>
    <row r="19" spans="1:21" x14ac:dyDescent="0.25">
      <c r="A19" s="2"/>
      <c r="B19" s="82"/>
      <c r="C19" s="15"/>
      <c r="D19" s="1048">
        <v>0</v>
      </c>
      <c r="E19" s="978"/>
      <c r="F19" s="801">
        <f t="shared" si="2"/>
        <v>0</v>
      </c>
      <c r="G19" s="524"/>
      <c r="H19" s="1050"/>
      <c r="I19" s="197">
        <f t="shared" si="3"/>
        <v>0</v>
      </c>
      <c r="J19" s="123">
        <f t="shared" si="4"/>
        <v>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5"/>
        <v>328.44</v>
      </c>
      <c r="U19" s="123">
        <f t="shared" si="6"/>
        <v>10</v>
      </c>
    </row>
    <row r="20" spans="1:21" x14ac:dyDescent="0.25">
      <c r="A20" s="2"/>
      <c r="B20" s="82"/>
      <c r="C20" s="15"/>
      <c r="D20" s="1048">
        <v>0</v>
      </c>
      <c r="E20" s="978"/>
      <c r="F20" s="801">
        <f t="shared" si="2"/>
        <v>0</v>
      </c>
      <c r="G20" s="524"/>
      <c r="H20" s="1050"/>
      <c r="I20" s="197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5"/>
        <v>328.44</v>
      </c>
      <c r="U20" s="123">
        <f t="shared" si="6"/>
        <v>10</v>
      </c>
    </row>
    <row r="21" spans="1:21" x14ac:dyDescent="0.25">
      <c r="A21" s="2"/>
      <c r="B21" s="82"/>
      <c r="C21" s="15"/>
      <c r="D21" s="1048">
        <v>0</v>
      </c>
      <c r="E21" s="978"/>
      <c r="F21" s="801">
        <f t="shared" si="2"/>
        <v>0</v>
      </c>
      <c r="G21" s="524"/>
      <c r="H21" s="1050"/>
      <c r="I21" s="197">
        <f t="shared" si="3"/>
        <v>0</v>
      </c>
      <c r="J21" s="123">
        <f t="shared" si="4"/>
        <v>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5"/>
        <v>328.44</v>
      </c>
      <c r="U21" s="123">
        <f t="shared" si="6"/>
        <v>10</v>
      </c>
    </row>
    <row r="22" spans="1:21" x14ac:dyDescent="0.25">
      <c r="A22" s="2"/>
      <c r="B22" s="82"/>
      <c r="C22" s="15"/>
      <c r="D22" s="1048">
        <v>0</v>
      </c>
      <c r="E22" s="978"/>
      <c r="F22" s="801">
        <f t="shared" si="2"/>
        <v>0</v>
      </c>
      <c r="G22" s="524"/>
      <c r="H22" s="1050"/>
      <c r="I22" s="197">
        <f t="shared" si="3"/>
        <v>0</v>
      </c>
      <c r="J22" s="123">
        <f t="shared" si="4"/>
        <v>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5"/>
        <v>328.44</v>
      </c>
      <c r="U22" s="123">
        <f t="shared" si="6"/>
        <v>10</v>
      </c>
    </row>
    <row r="23" spans="1:21" x14ac:dyDescent="0.25">
      <c r="A23" s="2"/>
      <c r="B23" s="82"/>
      <c r="C23" s="15"/>
      <c r="D23" s="1048">
        <v>0</v>
      </c>
      <c r="E23" s="987"/>
      <c r="F23" s="801">
        <f t="shared" ref="F23:F29" si="7">D23</f>
        <v>0</v>
      </c>
      <c r="G23" s="524"/>
      <c r="H23" s="1050"/>
      <c r="I23" s="197">
        <f t="shared" si="3"/>
        <v>0</v>
      </c>
      <c r="J23" s="123">
        <f t="shared" si="4"/>
        <v>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5"/>
        <v>328.44</v>
      </c>
      <c r="U23" s="123">
        <f t="shared" si="6"/>
        <v>10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7"/>
        <v>0</v>
      </c>
      <c r="G24" s="69"/>
      <c r="H24" s="124"/>
      <c r="I24" s="197">
        <f t="shared" si="3"/>
        <v>0</v>
      </c>
      <c r="J24" s="123">
        <f t="shared" si="4"/>
        <v>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5"/>
        <v>328.44</v>
      </c>
      <c r="U24" s="123">
        <f t="shared" si="6"/>
        <v>10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7"/>
        <v>0</v>
      </c>
      <c r="G25" s="69"/>
      <c r="H25" s="124"/>
      <c r="I25" s="197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5"/>
        <v>328.44</v>
      </c>
      <c r="U25" s="123">
        <f t="shared" si="6"/>
        <v>10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7"/>
        <v>0</v>
      </c>
      <c r="G26" s="69"/>
      <c r="H26" s="70"/>
      <c r="I26" s="197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5"/>
        <v>328.44</v>
      </c>
      <c r="U26" s="123">
        <f t="shared" si="6"/>
        <v>10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7"/>
        <v>0</v>
      </c>
      <c r="G27" s="69"/>
      <c r="H27" s="70"/>
      <c r="I27" s="197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5"/>
        <v>328.44</v>
      </c>
      <c r="U27" s="123">
        <f t="shared" si="6"/>
        <v>10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7"/>
        <v>0</v>
      </c>
      <c r="G28" s="69"/>
      <c r="H28" s="70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5"/>
        <v>328.44</v>
      </c>
      <c r="U28" s="123">
        <f t="shared" si="6"/>
        <v>10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425"/>
    </row>
    <row r="30" spans="1:21" ht="16.5" thickTop="1" thickBot="1" x14ac:dyDescent="0.3">
      <c r="C30" s="89">
        <f>SUM(C8:C29)</f>
        <v>18</v>
      </c>
      <c r="D30" s="48">
        <f>SUM(D8:D29)</f>
        <v>594.19000000000005</v>
      </c>
      <c r="E30" s="38"/>
      <c r="F30" s="5">
        <f>SUM(F8:F29)</f>
        <v>594.19000000000005</v>
      </c>
      <c r="J30" s="72"/>
      <c r="N30" s="89">
        <f>SUM(N8:N29)</f>
        <v>4</v>
      </c>
      <c r="O30" s="48">
        <f>SUM(O8:O29)</f>
        <v>124.69</v>
      </c>
      <c r="P30" s="38"/>
      <c r="Q30" s="5">
        <f>SUM(Q8:Q29)</f>
        <v>124.69</v>
      </c>
      <c r="U30" s="1425"/>
    </row>
    <row r="31" spans="1:21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10</v>
      </c>
      <c r="U31" s="1425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716" t="s">
        <v>11</v>
      </c>
      <c r="D33" s="1717"/>
      <c r="E33" s="141">
        <f>E5+E4+E6+-F30</f>
        <v>0</v>
      </c>
      <c r="L33" s="47"/>
      <c r="N33" s="1716" t="s">
        <v>11</v>
      </c>
      <c r="O33" s="1717"/>
      <c r="P33" s="141">
        <f>P5+P4+P6+-Q30</f>
        <v>328.44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762"/>
      <c r="B1" s="1762"/>
      <c r="C1" s="1762"/>
      <c r="D1" s="1762"/>
      <c r="E1" s="1762"/>
      <c r="F1" s="1762"/>
      <c r="G1" s="1762"/>
      <c r="H1" s="1762"/>
      <c r="I1" s="1762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7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2"/>
      <c r="D4" s="320"/>
      <c r="E4" s="240"/>
      <c r="F4" s="227"/>
      <c r="G4" s="72"/>
    </row>
    <row r="5" spans="1:10" ht="15" customHeight="1" x14ac:dyDescent="0.25">
      <c r="A5" s="1705" t="s">
        <v>110</v>
      </c>
      <c r="B5" s="1763" t="s">
        <v>89</v>
      </c>
      <c r="C5" s="222"/>
      <c r="D5" s="320"/>
      <c r="E5" s="240"/>
      <c r="F5" s="227"/>
      <c r="G5" s="143">
        <f>F71</f>
        <v>0</v>
      </c>
      <c r="H5" s="57">
        <f>E4+E5+E6-G5</f>
        <v>0</v>
      </c>
    </row>
    <row r="6" spans="1:10" ht="16.5" customHeight="1" x14ac:dyDescent="0.25">
      <c r="A6" s="1705"/>
      <c r="B6" s="1764"/>
      <c r="C6" s="222"/>
      <c r="D6" s="320"/>
      <c r="E6" s="240"/>
      <c r="F6" s="227"/>
      <c r="G6" s="72"/>
    </row>
    <row r="7" spans="1:10" ht="15.75" customHeight="1" thickBot="1" x14ac:dyDescent="0.35">
      <c r="A7" s="1705"/>
      <c r="B7" s="1764"/>
      <c r="C7" s="222"/>
      <c r="D7" s="320"/>
      <c r="E7" s="240"/>
      <c r="F7" s="227"/>
      <c r="G7" s="72"/>
      <c r="I7" s="350"/>
      <c r="J7" s="350"/>
    </row>
    <row r="8" spans="1:10" ht="16.5" customHeight="1" thickTop="1" thickBot="1" x14ac:dyDescent="0.3">
      <c r="B8" s="379"/>
      <c r="C8" s="222"/>
      <c r="D8" s="114"/>
      <c r="E8" s="318"/>
      <c r="F8" s="319"/>
      <c r="G8" s="72"/>
      <c r="I8" s="1729" t="s">
        <v>47</v>
      </c>
      <c r="J8" s="1765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30"/>
      <c r="J9" s="1766"/>
    </row>
    <row r="10" spans="1:10" ht="15.75" thickTop="1" x14ac:dyDescent="0.25">
      <c r="A10" s="2"/>
      <c r="B10" s="82">
        <v>10</v>
      </c>
      <c r="C10" s="15"/>
      <c r="D10" s="837">
        <f>B10*C10</f>
        <v>0</v>
      </c>
      <c r="E10" s="640"/>
      <c r="F10" s="565">
        <f t="shared" ref="F10:F71" si="0">D10</f>
        <v>0</v>
      </c>
      <c r="G10" s="563"/>
      <c r="H10" s="564"/>
      <c r="I10" s="713">
        <f>E4+E5+E6-F10+E7+E8</f>
        <v>0</v>
      </c>
      <c r="J10" s="723">
        <f>F4+F5+F6+F7-C10+F8</f>
        <v>0</v>
      </c>
    </row>
    <row r="11" spans="1:10" x14ac:dyDescent="0.25">
      <c r="A11" s="2"/>
      <c r="B11" s="82">
        <v>10</v>
      </c>
      <c r="C11" s="15"/>
      <c r="D11" s="837">
        <f>B11*C11</f>
        <v>0</v>
      </c>
      <c r="E11" s="643"/>
      <c r="F11" s="565">
        <f t="shared" si="0"/>
        <v>0</v>
      </c>
      <c r="G11" s="563"/>
      <c r="H11" s="564"/>
      <c r="I11" s="713">
        <f>I10-F11</f>
        <v>0</v>
      </c>
      <c r="J11" s="723">
        <f>J10-C11</f>
        <v>0</v>
      </c>
    </row>
    <row r="12" spans="1:10" x14ac:dyDescent="0.25">
      <c r="A12" s="79" t="s">
        <v>32</v>
      </c>
      <c r="B12" s="82">
        <v>10</v>
      </c>
      <c r="C12" s="15"/>
      <c r="D12" s="837">
        <f t="shared" ref="D12:D65" si="1">B12*C12</f>
        <v>0</v>
      </c>
      <c r="E12" s="640"/>
      <c r="F12" s="565">
        <f t="shared" si="0"/>
        <v>0</v>
      </c>
      <c r="G12" s="563"/>
      <c r="H12" s="564"/>
      <c r="I12" s="713">
        <f t="shared" ref="I12:I36" si="2">I11-F12</f>
        <v>0</v>
      </c>
      <c r="J12" s="723">
        <f t="shared" ref="J12:J36" si="3">J11-C12</f>
        <v>0</v>
      </c>
    </row>
    <row r="13" spans="1:10" x14ac:dyDescent="0.25">
      <c r="A13" s="80"/>
      <c r="B13" s="82">
        <v>10</v>
      </c>
      <c r="C13" s="15"/>
      <c r="D13" s="837">
        <f t="shared" si="1"/>
        <v>0</v>
      </c>
      <c r="E13" s="646"/>
      <c r="F13" s="565">
        <f t="shared" si="0"/>
        <v>0</v>
      </c>
      <c r="G13" s="563"/>
      <c r="H13" s="564"/>
      <c r="I13" s="713">
        <f t="shared" si="2"/>
        <v>0</v>
      </c>
      <c r="J13" s="723">
        <f t="shared" si="3"/>
        <v>0</v>
      </c>
    </row>
    <row r="14" spans="1:10" x14ac:dyDescent="0.25">
      <c r="A14" s="82"/>
      <c r="B14" s="82">
        <v>10</v>
      </c>
      <c r="C14" s="15"/>
      <c r="D14" s="837">
        <f t="shared" si="1"/>
        <v>0</v>
      </c>
      <c r="E14" s="646"/>
      <c r="F14" s="565">
        <f t="shared" si="0"/>
        <v>0</v>
      </c>
      <c r="G14" s="563"/>
      <c r="H14" s="564"/>
      <c r="I14" s="713">
        <f t="shared" si="2"/>
        <v>0</v>
      </c>
      <c r="J14" s="723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37">
        <f t="shared" si="1"/>
        <v>0</v>
      </c>
      <c r="E15" s="646"/>
      <c r="F15" s="565">
        <f t="shared" si="0"/>
        <v>0</v>
      </c>
      <c r="G15" s="563"/>
      <c r="H15" s="564"/>
      <c r="I15" s="713">
        <f t="shared" si="2"/>
        <v>0</v>
      </c>
      <c r="J15" s="723">
        <f t="shared" si="3"/>
        <v>0</v>
      </c>
    </row>
    <row r="16" spans="1:10" x14ac:dyDescent="0.25">
      <c r="A16" s="80"/>
      <c r="B16" s="82">
        <v>10</v>
      </c>
      <c r="C16" s="15"/>
      <c r="D16" s="837">
        <f t="shared" si="1"/>
        <v>0</v>
      </c>
      <c r="E16" s="640"/>
      <c r="F16" s="565">
        <f t="shared" si="0"/>
        <v>0</v>
      </c>
      <c r="G16" s="563"/>
      <c r="H16" s="564"/>
      <c r="I16" s="713">
        <f t="shared" si="2"/>
        <v>0</v>
      </c>
      <c r="J16" s="723">
        <f t="shared" si="3"/>
        <v>0</v>
      </c>
    </row>
    <row r="17" spans="1:10" x14ac:dyDescent="0.25">
      <c r="A17" s="82"/>
      <c r="B17" s="82">
        <v>10</v>
      </c>
      <c r="C17" s="15"/>
      <c r="D17" s="837">
        <f t="shared" si="1"/>
        <v>0</v>
      </c>
      <c r="E17" s="646"/>
      <c r="F17" s="565">
        <f t="shared" si="0"/>
        <v>0</v>
      </c>
      <c r="G17" s="563"/>
      <c r="H17" s="564"/>
      <c r="I17" s="713">
        <f t="shared" si="2"/>
        <v>0</v>
      </c>
      <c r="J17" s="723">
        <f t="shared" si="3"/>
        <v>0</v>
      </c>
    </row>
    <row r="18" spans="1:10" x14ac:dyDescent="0.25">
      <c r="A18" s="2"/>
      <c r="B18" s="82">
        <v>10</v>
      </c>
      <c r="C18" s="15"/>
      <c r="D18" s="837">
        <f t="shared" si="1"/>
        <v>0</v>
      </c>
      <c r="E18" s="646"/>
      <c r="F18" s="565">
        <f t="shared" si="0"/>
        <v>0</v>
      </c>
      <c r="G18" s="838"/>
      <c r="H18" s="564"/>
      <c r="I18" s="713">
        <f t="shared" si="2"/>
        <v>0</v>
      </c>
      <c r="J18" s="723">
        <f t="shared" si="3"/>
        <v>0</v>
      </c>
    </row>
    <row r="19" spans="1:10" x14ac:dyDescent="0.25">
      <c r="A19" s="2"/>
      <c r="B19" s="82">
        <v>10</v>
      </c>
      <c r="C19" s="53"/>
      <c r="D19" s="837">
        <f t="shared" si="1"/>
        <v>0</v>
      </c>
      <c r="E19" s="646"/>
      <c r="F19" s="565">
        <f t="shared" si="0"/>
        <v>0</v>
      </c>
      <c r="G19" s="563"/>
      <c r="H19" s="564"/>
      <c r="I19" s="713">
        <f t="shared" si="2"/>
        <v>0</v>
      </c>
      <c r="J19" s="723">
        <f t="shared" si="3"/>
        <v>0</v>
      </c>
    </row>
    <row r="20" spans="1:10" x14ac:dyDescent="0.25">
      <c r="A20" s="2"/>
      <c r="B20" s="82">
        <v>10</v>
      </c>
      <c r="C20" s="15"/>
      <c r="D20" s="837">
        <f t="shared" si="1"/>
        <v>0</v>
      </c>
      <c r="E20" s="640"/>
      <c r="F20" s="565">
        <f t="shared" si="0"/>
        <v>0</v>
      </c>
      <c r="G20" s="563"/>
      <c r="H20" s="564"/>
      <c r="I20" s="713">
        <f t="shared" si="2"/>
        <v>0</v>
      </c>
      <c r="J20" s="723">
        <f t="shared" si="3"/>
        <v>0</v>
      </c>
    </row>
    <row r="21" spans="1:10" x14ac:dyDescent="0.25">
      <c r="A21" s="2"/>
      <c r="B21" s="82">
        <v>10</v>
      </c>
      <c r="C21" s="15"/>
      <c r="D21" s="837">
        <f t="shared" si="1"/>
        <v>0</v>
      </c>
      <c r="E21" s="640"/>
      <c r="F21" s="565">
        <f t="shared" si="0"/>
        <v>0</v>
      </c>
      <c r="G21" s="563"/>
      <c r="H21" s="564"/>
      <c r="I21" s="713">
        <f t="shared" si="2"/>
        <v>0</v>
      </c>
      <c r="J21" s="723">
        <f t="shared" si="3"/>
        <v>0</v>
      </c>
    </row>
    <row r="22" spans="1:10" x14ac:dyDescent="0.25">
      <c r="A22" s="2"/>
      <c r="B22" s="82">
        <v>10</v>
      </c>
      <c r="C22" s="15"/>
      <c r="D22" s="837">
        <f t="shared" si="1"/>
        <v>0</v>
      </c>
      <c r="E22" s="643"/>
      <c r="F22" s="565">
        <f t="shared" si="0"/>
        <v>0</v>
      </c>
      <c r="G22" s="563"/>
      <c r="H22" s="564"/>
      <c r="I22" s="713">
        <f t="shared" si="2"/>
        <v>0</v>
      </c>
      <c r="J22" s="723">
        <f t="shared" si="3"/>
        <v>0</v>
      </c>
    </row>
    <row r="23" spans="1:10" x14ac:dyDescent="0.25">
      <c r="A23" s="2"/>
      <c r="B23" s="82">
        <v>10</v>
      </c>
      <c r="C23" s="15"/>
      <c r="D23" s="837">
        <f t="shared" si="1"/>
        <v>0</v>
      </c>
      <c r="E23" s="643"/>
      <c r="F23" s="565">
        <f t="shared" si="0"/>
        <v>0</v>
      </c>
      <c r="G23" s="563"/>
      <c r="H23" s="564"/>
      <c r="I23" s="713">
        <f t="shared" si="2"/>
        <v>0</v>
      </c>
      <c r="J23" s="723">
        <f t="shared" si="3"/>
        <v>0</v>
      </c>
    </row>
    <row r="24" spans="1:10" x14ac:dyDescent="0.25">
      <c r="A24" s="2"/>
      <c r="B24" s="82">
        <v>10</v>
      </c>
      <c r="C24" s="15"/>
      <c r="D24" s="837">
        <f t="shared" si="1"/>
        <v>0</v>
      </c>
      <c r="E24" s="643"/>
      <c r="F24" s="565">
        <f t="shared" si="0"/>
        <v>0</v>
      </c>
      <c r="G24" s="563"/>
      <c r="H24" s="564"/>
      <c r="I24" s="713">
        <f t="shared" si="2"/>
        <v>0</v>
      </c>
      <c r="J24" s="723">
        <f t="shared" si="3"/>
        <v>0</v>
      </c>
    </row>
    <row r="25" spans="1:10" x14ac:dyDescent="0.25">
      <c r="A25" s="2"/>
      <c r="B25" s="82">
        <v>10</v>
      </c>
      <c r="C25" s="15"/>
      <c r="D25" s="837">
        <f t="shared" si="1"/>
        <v>0</v>
      </c>
      <c r="E25" s="643"/>
      <c r="F25" s="565">
        <f t="shared" si="0"/>
        <v>0</v>
      </c>
      <c r="G25" s="563"/>
      <c r="H25" s="564"/>
      <c r="I25" s="713">
        <f t="shared" si="2"/>
        <v>0</v>
      </c>
      <c r="J25" s="723">
        <f t="shared" si="3"/>
        <v>0</v>
      </c>
    </row>
    <row r="26" spans="1:10" x14ac:dyDescent="0.25">
      <c r="A26" s="2"/>
      <c r="B26" s="82">
        <v>10</v>
      </c>
      <c r="C26" s="15"/>
      <c r="D26" s="837">
        <f t="shared" si="1"/>
        <v>0</v>
      </c>
      <c r="E26" s="643"/>
      <c r="F26" s="565">
        <f t="shared" si="0"/>
        <v>0</v>
      </c>
      <c r="G26" s="563"/>
      <c r="H26" s="564"/>
      <c r="I26" s="713">
        <f t="shared" si="2"/>
        <v>0</v>
      </c>
      <c r="J26" s="723">
        <f t="shared" si="3"/>
        <v>0</v>
      </c>
    </row>
    <row r="27" spans="1:10" x14ac:dyDescent="0.25">
      <c r="A27" s="2"/>
      <c r="B27" s="82">
        <v>10</v>
      </c>
      <c r="C27" s="15"/>
      <c r="D27" s="837">
        <f t="shared" si="1"/>
        <v>0</v>
      </c>
      <c r="E27" s="643"/>
      <c r="F27" s="565">
        <f t="shared" si="0"/>
        <v>0</v>
      </c>
      <c r="G27" s="563"/>
      <c r="H27" s="564"/>
      <c r="I27" s="713">
        <f t="shared" si="2"/>
        <v>0</v>
      </c>
      <c r="J27" s="723">
        <f t="shared" si="3"/>
        <v>0</v>
      </c>
    </row>
    <row r="28" spans="1:10" x14ac:dyDescent="0.25">
      <c r="A28" s="2"/>
      <c r="B28" s="82">
        <v>10</v>
      </c>
      <c r="C28" s="15"/>
      <c r="D28" s="837">
        <f t="shared" si="1"/>
        <v>0</v>
      </c>
      <c r="E28" s="643"/>
      <c r="F28" s="565">
        <f t="shared" si="0"/>
        <v>0</v>
      </c>
      <c r="G28" s="563"/>
      <c r="H28" s="564"/>
      <c r="I28" s="713">
        <f t="shared" si="2"/>
        <v>0</v>
      </c>
      <c r="J28" s="723">
        <f t="shared" si="3"/>
        <v>0</v>
      </c>
    </row>
    <row r="29" spans="1:10" x14ac:dyDescent="0.25">
      <c r="A29" s="2"/>
      <c r="B29" s="82">
        <v>10</v>
      </c>
      <c r="C29" s="15"/>
      <c r="D29" s="837">
        <f t="shared" si="1"/>
        <v>0</v>
      </c>
      <c r="E29" s="643"/>
      <c r="F29" s="565">
        <f t="shared" si="0"/>
        <v>0</v>
      </c>
      <c r="G29" s="563"/>
      <c r="H29" s="564"/>
      <c r="I29" s="713">
        <f t="shared" si="2"/>
        <v>0</v>
      </c>
      <c r="J29" s="723">
        <f t="shared" si="3"/>
        <v>0</v>
      </c>
    </row>
    <row r="30" spans="1:10" x14ac:dyDescent="0.25">
      <c r="A30" s="2"/>
      <c r="B30" s="82">
        <v>10</v>
      </c>
      <c r="C30" s="15"/>
      <c r="D30" s="837">
        <f t="shared" si="1"/>
        <v>0</v>
      </c>
      <c r="E30" s="643"/>
      <c r="F30" s="565">
        <f t="shared" si="0"/>
        <v>0</v>
      </c>
      <c r="G30" s="563"/>
      <c r="H30" s="564"/>
      <c r="I30" s="713">
        <f t="shared" si="2"/>
        <v>0</v>
      </c>
      <c r="J30" s="723">
        <f t="shared" si="3"/>
        <v>0</v>
      </c>
    </row>
    <row r="31" spans="1:10" x14ac:dyDescent="0.25">
      <c r="A31" s="2"/>
      <c r="B31" s="82">
        <v>10</v>
      </c>
      <c r="C31" s="15"/>
      <c r="D31" s="837">
        <f t="shared" si="1"/>
        <v>0</v>
      </c>
      <c r="E31" s="643"/>
      <c r="F31" s="565">
        <f t="shared" si="0"/>
        <v>0</v>
      </c>
      <c r="G31" s="563"/>
      <c r="H31" s="564"/>
      <c r="I31" s="713">
        <f t="shared" si="2"/>
        <v>0</v>
      </c>
      <c r="J31" s="723">
        <f t="shared" si="3"/>
        <v>0</v>
      </c>
    </row>
    <row r="32" spans="1:10" x14ac:dyDescent="0.25">
      <c r="A32" s="2"/>
      <c r="B32" s="82">
        <v>10</v>
      </c>
      <c r="C32" s="15"/>
      <c r="D32" s="837">
        <f t="shared" si="1"/>
        <v>0</v>
      </c>
      <c r="E32" s="643"/>
      <c r="F32" s="565">
        <f t="shared" si="0"/>
        <v>0</v>
      </c>
      <c r="G32" s="563"/>
      <c r="H32" s="564"/>
      <c r="I32" s="713">
        <f t="shared" si="2"/>
        <v>0</v>
      </c>
      <c r="J32" s="723">
        <f t="shared" si="3"/>
        <v>0</v>
      </c>
    </row>
    <row r="33" spans="1:10" x14ac:dyDescent="0.25">
      <c r="A33" s="2"/>
      <c r="B33" s="82">
        <v>10</v>
      </c>
      <c r="C33" s="15"/>
      <c r="D33" s="837">
        <f t="shared" si="1"/>
        <v>0</v>
      </c>
      <c r="E33" s="643"/>
      <c r="F33" s="565">
        <f t="shared" si="0"/>
        <v>0</v>
      </c>
      <c r="G33" s="563"/>
      <c r="H33" s="564"/>
      <c r="I33" s="713">
        <f t="shared" si="2"/>
        <v>0</v>
      </c>
      <c r="J33" s="723">
        <f t="shared" si="3"/>
        <v>0</v>
      </c>
    </row>
    <row r="34" spans="1:10" x14ac:dyDescent="0.25">
      <c r="A34" s="2"/>
      <c r="B34" s="82">
        <v>10</v>
      </c>
      <c r="C34" s="15"/>
      <c r="D34" s="837">
        <f t="shared" si="1"/>
        <v>0</v>
      </c>
      <c r="E34" s="643"/>
      <c r="F34" s="565">
        <f t="shared" si="0"/>
        <v>0</v>
      </c>
      <c r="G34" s="563"/>
      <c r="H34" s="564"/>
      <c r="I34" s="713">
        <f t="shared" si="2"/>
        <v>0</v>
      </c>
      <c r="J34" s="723">
        <f t="shared" si="3"/>
        <v>0</v>
      </c>
    </row>
    <row r="35" spans="1:10" x14ac:dyDescent="0.25">
      <c r="A35" s="2"/>
      <c r="B35" s="82">
        <v>10</v>
      </c>
      <c r="C35" s="15"/>
      <c r="D35" s="837">
        <f t="shared" si="1"/>
        <v>0</v>
      </c>
      <c r="E35" s="643"/>
      <c r="F35" s="565">
        <f t="shared" si="0"/>
        <v>0</v>
      </c>
      <c r="G35" s="563"/>
      <c r="H35" s="564"/>
      <c r="I35" s="713">
        <f t="shared" si="2"/>
        <v>0</v>
      </c>
      <c r="J35" s="723">
        <f t="shared" si="3"/>
        <v>0</v>
      </c>
    </row>
    <row r="36" spans="1:10" x14ac:dyDescent="0.25">
      <c r="A36" s="2"/>
      <c r="B36" s="82">
        <v>10</v>
      </c>
      <c r="C36" s="15"/>
      <c r="D36" s="837">
        <f t="shared" si="1"/>
        <v>0</v>
      </c>
      <c r="E36" s="643"/>
      <c r="F36" s="565">
        <f t="shared" si="0"/>
        <v>0</v>
      </c>
      <c r="G36" s="563"/>
      <c r="H36" s="564"/>
      <c r="I36" s="713">
        <f t="shared" si="2"/>
        <v>0</v>
      </c>
      <c r="J36" s="723">
        <f t="shared" si="3"/>
        <v>0</v>
      </c>
    </row>
    <row r="37" spans="1:10" x14ac:dyDescent="0.25">
      <c r="A37" s="2"/>
      <c r="B37" s="82">
        <v>10</v>
      </c>
      <c r="C37" s="15"/>
      <c r="D37" s="837">
        <f t="shared" si="1"/>
        <v>0</v>
      </c>
      <c r="E37" s="643"/>
      <c r="F37" s="565">
        <f t="shared" si="0"/>
        <v>0</v>
      </c>
      <c r="G37" s="563"/>
      <c r="H37" s="564"/>
      <c r="I37" s="713">
        <f t="shared" ref="I37:I69" si="4">I36-F37</f>
        <v>0</v>
      </c>
      <c r="J37" s="723">
        <f t="shared" ref="J37:J69" si="5">J36-C37</f>
        <v>0</v>
      </c>
    </row>
    <row r="38" spans="1:10" x14ac:dyDescent="0.25">
      <c r="A38" s="2"/>
      <c r="B38" s="82">
        <v>10</v>
      </c>
      <c r="C38" s="15"/>
      <c r="D38" s="837">
        <f t="shared" si="1"/>
        <v>0</v>
      </c>
      <c r="E38" s="643"/>
      <c r="F38" s="565">
        <f t="shared" si="0"/>
        <v>0</v>
      </c>
      <c r="G38" s="563"/>
      <c r="H38" s="564"/>
      <c r="I38" s="713">
        <f t="shared" si="4"/>
        <v>0</v>
      </c>
      <c r="J38" s="723">
        <f t="shared" si="5"/>
        <v>0</v>
      </c>
    </row>
    <row r="39" spans="1:10" x14ac:dyDescent="0.25">
      <c r="A39" s="2"/>
      <c r="B39" s="82">
        <v>10</v>
      </c>
      <c r="C39" s="15"/>
      <c r="D39" s="837">
        <f t="shared" si="1"/>
        <v>0</v>
      </c>
      <c r="E39" s="643"/>
      <c r="F39" s="565">
        <f t="shared" si="0"/>
        <v>0</v>
      </c>
      <c r="G39" s="563"/>
      <c r="H39" s="564"/>
      <c r="I39" s="713">
        <f t="shared" si="4"/>
        <v>0</v>
      </c>
      <c r="J39" s="723">
        <f t="shared" si="5"/>
        <v>0</v>
      </c>
    </row>
    <row r="40" spans="1:10" x14ac:dyDescent="0.25">
      <c r="A40" s="2"/>
      <c r="B40" s="82">
        <v>10</v>
      </c>
      <c r="C40" s="15"/>
      <c r="D40" s="837">
        <f t="shared" si="1"/>
        <v>0</v>
      </c>
      <c r="E40" s="643"/>
      <c r="F40" s="565">
        <f t="shared" si="0"/>
        <v>0</v>
      </c>
      <c r="G40" s="563"/>
      <c r="H40" s="564"/>
      <c r="I40" s="713">
        <f t="shared" si="4"/>
        <v>0</v>
      </c>
      <c r="J40" s="723">
        <f t="shared" si="5"/>
        <v>0</v>
      </c>
    </row>
    <row r="41" spans="1:10" x14ac:dyDescent="0.25">
      <c r="A41" s="2"/>
      <c r="B41" s="82">
        <v>10</v>
      </c>
      <c r="C41" s="15"/>
      <c r="D41" s="837">
        <f t="shared" si="1"/>
        <v>0</v>
      </c>
      <c r="E41" s="643"/>
      <c r="F41" s="565">
        <f t="shared" si="0"/>
        <v>0</v>
      </c>
      <c r="G41" s="563"/>
      <c r="H41" s="564"/>
      <c r="I41" s="713">
        <f t="shared" si="4"/>
        <v>0</v>
      </c>
      <c r="J41" s="723">
        <f t="shared" si="5"/>
        <v>0</v>
      </c>
    </row>
    <row r="42" spans="1:10" x14ac:dyDescent="0.25">
      <c r="A42" s="2"/>
      <c r="B42" s="82">
        <v>10</v>
      </c>
      <c r="C42" s="15"/>
      <c r="D42" s="837">
        <f t="shared" si="1"/>
        <v>0</v>
      </c>
      <c r="E42" s="643"/>
      <c r="F42" s="565">
        <f t="shared" si="0"/>
        <v>0</v>
      </c>
      <c r="G42" s="563"/>
      <c r="H42" s="564"/>
      <c r="I42" s="713">
        <f t="shared" si="4"/>
        <v>0</v>
      </c>
      <c r="J42" s="723">
        <f t="shared" si="5"/>
        <v>0</v>
      </c>
    </row>
    <row r="43" spans="1:10" x14ac:dyDescent="0.25">
      <c r="A43" s="2"/>
      <c r="B43" s="82">
        <v>10</v>
      </c>
      <c r="C43" s="15"/>
      <c r="D43" s="837">
        <f t="shared" si="1"/>
        <v>0</v>
      </c>
      <c r="E43" s="643"/>
      <c r="F43" s="565">
        <f t="shared" si="0"/>
        <v>0</v>
      </c>
      <c r="G43" s="563"/>
      <c r="H43" s="564"/>
      <c r="I43" s="713">
        <f t="shared" si="4"/>
        <v>0</v>
      </c>
      <c r="J43" s="723">
        <f t="shared" si="5"/>
        <v>0</v>
      </c>
    </row>
    <row r="44" spans="1:10" x14ac:dyDescent="0.25">
      <c r="A44" s="2"/>
      <c r="B44" s="82">
        <v>10</v>
      </c>
      <c r="C44" s="15"/>
      <c r="D44" s="837">
        <f t="shared" si="1"/>
        <v>0</v>
      </c>
      <c r="E44" s="643"/>
      <c r="F44" s="565">
        <f t="shared" si="0"/>
        <v>0</v>
      </c>
      <c r="G44" s="563"/>
      <c r="H44" s="564"/>
      <c r="I44" s="713">
        <f t="shared" si="4"/>
        <v>0</v>
      </c>
      <c r="J44" s="723">
        <f t="shared" si="5"/>
        <v>0</v>
      </c>
    </row>
    <row r="45" spans="1:10" x14ac:dyDescent="0.25">
      <c r="A45" s="2"/>
      <c r="B45" s="82">
        <v>10</v>
      </c>
      <c r="C45" s="15"/>
      <c r="D45" s="837">
        <f t="shared" si="1"/>
        <v>0</v>
      </c>
      <c r="E45" s="643"/>
      <c r="F45" s="565">
        <f t="shared" si="0"/>
        <v>0</v>
      </c>
      <c r="G45" s="563"/>
      <c r="H45" s="564"/>
      <c r="I45" s="713">
        <f t="shared" si="4"/>
        <v>0</v>
      </c>
      <c r="J45" s="723">
        <f t="shared" si="5"/>
        <v>0</v>
      </c>
    </row>
    <row r="46" spans="1:10" x14ac:dyDescent="0.25">
      <c r="A46" s="2"/>
      <c r="B46" s="82">
        <v>10</v>
      </c>
      <c r="C46" s="15"/>
      <c r="D46" s="837">
        <f t="shared" si="1"/>
        <v>0</v>
      </c>
      <c r="E46" s="643"/>
      <c r="F46" s="565">
        <f t="shared" si="0"/>
        <v>0</v>
      </c>
      <c r="G46" s="563"/>
      <c r="H46" s="564"/>
      <c r="I46" s="713">
        <f t="shared" si="4"/>
        <v>0</v>
      </c>
      <c r="J46" s="723">
        <f t="shared" si="5"/>
        <v>0</v>
      </c>
    </row>
    <row r="47" spans="1:10" x14ac:dyDescent="0.25">
      <c r="A47" s="2"/>
      <c r="B47" s="82">
        <v>10</v>
      </c>
      <c r="C47" s="15"/>
      <c r="D47" s="837">
        <f t="shared" si="1"/>
        <v>0</v>
      </c>
      <c r="E47" s="643"/>
      <c r="F47" s="565">
        <f t="shared" si="0"/>
        <v>0</v>
      </c>
      <c r="G47" s="563"/>
      <c r="H47" s="564"/>
      <c r="I47" s="713">
        <f t="shared" si="4"/>
        <v>0</v>
      </c>
      <c r="J47" s="723">
        <f t="shared" si="5"/>
        <v>0</v>
      </c>
    </row>
    <row r="48" spans="1:10" x14ac:dyDescent="0.25">
      <c r="A48" s="2"/>
      <c r="B48" s="82">
        <v>10</v>
      </c>
      <c r="C48" s="15"/>
      <c r="D48" s="837">
        <f t="shared" si="1"/>
        <v>0</v>
      </c>
      <c r="E48" s="643"/>
      <c r="F48" s="565">
        <f t="shared" si="0"/>
        <v>0</v>
      </c>
      <c r="G48" s="563"/>
      <c r="H48" s="564"/>
      <c r="I48" s="713">
        <f t="shared" si="4"/>
        <v>0</v>
      </c>
      <c r="J48" s="723">
        <f t="shared" si="5"/>
        <v>0</v>
      </c>
    </row>
    <row r="49" spans="1:10" x14ac:dyDescent="0.25">
      <c r="A49" s="2"/>
      <c r="B49" s="82">
        <v>10</v>
      </c>
      <c r="C49" s="15"/>
      <c r="D49" s="837">
        <f t="shared" si="1"/>
        <v>0</v>
      </c>
      <c r="E49" s="643"/>
      <c r="F49" s="565">
        <f t="shared" si="0"/>
        <v>0</v>
      </c>
      <c r="G49" s="563"/>
      <c r="H49" s="564"/>
      <c r="I49" s="713">
        <f t="shared" si="4"/>
        <v>0</v>
      </c>
      <c r="J49" s="723">
        <f t="shared" si="5"/>
        <v>0</v>
      </c>
    </row>
    <row r="50" spans="1:10" x14ac:dyDescent="0.25">
      <c r="A50" s="2"/>
      <c r="B50" s="82">
        <v>10</v>
      </c>
      <c r="C50" s="15"/>
      <c r="D50" s="837">
        <f t="shared" si="1"/>
        <v>0</v>
      </c>
      <c r="E50" s="643"/>
      <c r="F50" s="565">
        <f t="shared" si="0"/>
        <v>0</v>
      </c>
      <c r="G50" s="563"/>
      <c r="H50" s="564"/>
      <c r="I50" s="713">
        <f t="shared" si="4"/>
        <v>0</v>
      </c>
      <c r="J50" s="723">
        <f t="shared" si="5"/>
        <v>0</v>
      </c>
    </row>
    <row r="51" spans="1:10" x14ac:dyDescent="0.25">
      <c r="A51" s="2"/>
      <c r="B51" s="82">
        <v>10</v>
      </c>
      <c r="C51" s="15"/>
      <c r="D51" s="837">
        <f t="shared" si="1"/>
        <v>0</v>
      </c>
      <c r="E51" s="643"/>
      <c r="F51" s="565">
        <f t="shared" si="0"/>
        <v>0</v>
      </c>
      <c r="G51" s="563"/>
      <c r="H51" s="564"/>
      <c r="I51" s="713">
        <f t="shared" si="4"/>
        <v>0</v>
      </c>
      <c r="J51" s="723">
        <f t="shared" si="5"/>
        <v>0</v>
      </c>
    </row>
    <row r="52" spans="1:10" x14ac:dyDescent="0.25">
      <c r="A52" s="2"/>
      <c r="B52" s="82">
        <v>10</v>
      </c>
      <c r="C52" s="15"/>
      <c r="D52" s="837">
        <f t="shared" si="1"/>
        <v>0</v>
      </c>
      <c r="E52" s="643"/>
      <c r="F52" s="565">
        <f t="shared" si="0"/>
        <v>0</v>
      </c>
      <c r="G52" s="563"/>
      <c r="H52" s="564"/>
      <c r="I52" s="713">
        <f t="shared" si="4"/>
        <v>0</v>
      </c>
      <c r="J52" s="723">
        <f t="shared" si="5"/>
        <v>0</v>
      </c>
    </row>
    <row r="53" spans="1:10" x14ac:dyDescent="0.25">
      <c r="A53" s="2"/>
      <c r="B53" s="82">
        <v>10</v>
      </c>
      <c r="C53" s="15"/>
      <c r="D53" s="837">
        <f t="shared" si="1"/>
        <v>0</v>
      </c>
      <c r="E53" s="643"/>
      <c r="F53" s="565">
        <f t="shared" si="0"/>
        <v>0</v>
      </c>
      <c r="G53" s="563"/>
      <c r="H53" s="564"/>
      <c r="I53" s="713">
        <f t="shared" si="4"/>
        <v>0</v>
      </c>
      <c r="J53" s="723">
        <f t="shared" si="5"/>
        <v>0</v>
      </c>
    </row>
    <row r="54" spans="1:10" x14ac:dyDescent="0.25">
      <c r="A54" s="2"/>
      <c r="B54" s="82">
        <v>10</v>
      </c>
      <c r="C54" s="15"/>
      <c r="D54" s="837">
        <f t="shared" si="1"/>
        <v>0</v>
      </c>
      <c r="E54" s="643"/>
      <c r="F54" s="565">
        <f t="shared" si="0"/>
        <v>0</v>
      </c>
      <c r="G54" s="563"/>
      <c r="H54" s="564"/>
      <c r="I54" s="713">
        <f t="shared" si="4"/>
        <v>0</v>
      </c>
      <c r="J54" s="723">
        <f t="shared" si="5"/>
        <v>0</v>
      </c>
    </row>
    <row r="55" spans="1:10" x14ac:dyDescent="0.25">
      <c r="A55" s="2"/>
      <c r="B55" s="82">
        <v>10</v>
      </c>
      <c r="C55" s="15"/>
      <c r="D55" s="837">
        <f t="shared" si="1"/>
        <v>0</v>
      </c>
      <c r="E55" s="643"/>
      <c r="F55" s="565">
        <f t="shared" si="0"/>
        <v>0</v>
      </c>
      <c r="G55" s="563"/>
      <c r="H55" s="564"/>
      <c r="I55" s="713">
        <f t="shared" si="4"/>
        <v>0</v>
      </c>
      <c r="J55" s="723">
        <f t="shared" si="5"/>
        <v>0</v>
      </c>
    </row>
    <row r="56" spans="1:10" x14ac:dyDescent="0.25">
      <c r="A56" s="2"/>
      <c r="B56" s="82">
        <v>10</v>
      </c>
      <c r="C56" s="15"/>
      <c r="D56" s="837">
        <f t="shared" si="1"/>
        <v>0</v>
      </c>
      <c r="E56" s="643"/>
      <c r="F56" s="565">
        <f t="shared" si="0"/>
        <v>0</v>
      </c>
      <c r="G56" s="563"/>
      <c r="H56" s="564"/>
      <c r="I56" s="713">
        <f t="shared" si="4"/>
        <v>0</v>
      </c>
      <c r="J56" s="723">
        <f t="shared" si="5"/>
        <v>0</v>
      </c>
    </row>
    <row r="57" spans="1:10" x14ac:dyDescent="0.25">
      <c r="A57" s="2"/>
      <c r="B57" s="82">
        <v>10</v>
      </c>
      <c r="C57" s="15"/>
      <c r="D57" s="837">
        <f t="shared" si="1"/>
        <v>0</v>
      </c>
      <c r="E57" s="643"/>
      <c r="F57" s="565">
        <f t="shared" si="0"/>
        <v>0</v>
      </c>
      <c r="G57" s="563"/>
      <c r="H57" s="564"/>
      <c r="I57" s="713">
        <f t="shared" si="4"/>
        <v>0</v>
      </c>
      <c r="J57" s="723">
        <f t="shared" si="5"/>
        <v>0</v>
      </c>
    </row>
    <row r="58" spans="1:10" x14ac:dyDescent="0.25">
      <c r="A58" s="2"/>
      <c r="B58" s="82">
        <v>10</v>
      </c>
      <c r="C58" s="15"/>
      <c r="D58" s="837">
        <f t="shared" si="1"/>
        <v>0</v>
      </c>
      <c r="E58" s="643"/>
      <c r="F58" s="565">
        <f t="shared" si="0"/>
        <v>0</v>
      </c>
      <c r="G58" s="563"/>
      <c r="H58" s="564"/>
      <c r="I58" s="713">
        <f t="shared" si="4"/>
        <v>0</v>
      </c>
      <c r="J58" s="723">
        <f t="shared" si="5"/>
        <v>0</v>
      </c>
    </row>
    <row r="59" spans="1:10" x14ac:dyDescent="0.25">
      <c r="A59" s="2"/>
      <c r="B59" s="82">
        <v>10</v>
      </c>
      <c r="C59" s="15"/>
      <c r="D59" s="837">
        <f t="shared" si="1"/>
        <v>0</v>
      </c>
      <c r="E59" s="643"/>
      <c r="F59" s="565">
        <f t="shared" si="0"/>
        <v>0</v>
      </c>
      <c r="G59" s="563"/>
      <c r="H59" s="564"/>
      <c r="I59" s="713">
        <f t="shared" si="4"/>
        <v>0</v>
      </c>
      <c r="J59" s="723">
        <f t="shared" si="5"/>
        <v>0</v>
      </c>
    </row>
    <row r="60" spans="1:10" x14ac:dyDescent="0.25">
      <c r="A60" s="2"/>
      <c r="B60" s="82">
        <v>10</v>
      </c>
      <c r="C60" s="15"/>
      <c r="D60" s="837">
        <f t="shared" si="1"/>
        <v>0</v>
      </c>
      <c r="E60" s="643"/>
      <c r="F60" s="565">
        <f t="shared" si="0"/>
        <v>0</v>
      </c>
      <c r="G60" s="563"/>
      <c r="H60" s="564"/>
      <c r="I60" s="713">
        <f t="shared" si="4"/>
        <v>0</v>
      </c>
      <c r="J60" s="723">
        <f t="shared" si="5"/>
        <v>0</v>
      </c>
    </row>
    <row r="61" spans="1:10" x14ac:dyDescent="0.25">
      <c r="A61" s="2"/>
      <c r="B61" s="82">
        <v>10</v>
      </c>
      <c r="C61" s="15"/>
      <c r="D61" s="837">
        <f t="shared" si="1"/>
        <v>0</v>
      </c>
      <c r="E61" s="643"/>
      <c r="F61" s="565">
        <f t="shared" si="0"/>
        <v>0</v>
      </c>
      <c r="G61" s="563"/>
      <c r="H61" s="564"/>
      <c r="I61" s="713">
        <f t="shared" si="4"/>
        <v>0</v>
      </c>
      <c r="J61" s="723">
        <f t="shared" si="5"/>
        <v>0</v>
      </c>
    </row>
    <row r="62" spans="1:10" x14ac:dyDescent="0.25">
      <c r="A62" s="2"/>
      <c r="B62" s="82">
        <v>10</v>
      </c>
      <c r="C62" s="15"/>
      <c r="D62" s="837">
        <f t="shared" si="1"/>
        <v>0</v>
      </c>
      <c r="E62" s="643"/>
      <c r="F62" s="565">
        <f t="shared" si="0"/>
        <v>0</v>
      </c>
      <c r="G62" s="563"/>
      <c r="H62" s="564"/>
      <c r="I62" s="713">
        <f t="shared" si="4"/>
        <v>0</v>
      </c>
      <c r="J62" s="723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2"/>
      <c r="F63" s="68">
        <f t="shared" si="0"/>
        <v>0</v>
      </c>
      <c r="G63" s="563"/>
      <c r="H63" s="564"/>
      <c r="I63" s="713">
        <f t="shared" si="4"/>
        <v>0</v>
      </c>
      <c r="J63" s="723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2"/>
      <c r="F64" s="68">
        <f t="shared" si="0"/>
        <v>0</v>
      </c>
      <c r="G64" s="563"/>
      <c r="H64" s="564"/>
      <c r="I64" s="713">
        <f t="shared" si="4"/>
        <v>0</v>
      </c>
      <c r="J64" s="723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2"/>
      <c r="F65" s="68">
        <f t="shared" si="0"/>
        <v>0</v>
      </c>
      <c r="G65" s="563"/>
      <c r="H65" s="564"/>
      <c r="I65" s="713">
        <f t="shared" si="4"/>
        <v>0</v>
      </c>
      <c r="J65" s="723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2"/>
      <c r="F66" s="68">
        <f t="shared" si="0"/>
        <v>0</v>
      </c>
      <c r="G66" s="563"/>
      <c r="H66" s="564"/>
      <c r="I66" s="713">
        <f t="shared" si="4"/>
        <v>0</v>
      </c>
      <c r="J66" s="723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2"/>
      <c r="F67" s="68">
        <f t="shared" si="0"/>
        <v>0</v>
      </c>
      <c r="G67" s="563"/>
      <c r="H67" s="564"/>
      <c r="I67" s="713">
        <f t="shared" si="4"/>
        <v>0</v>
      </c>
      <c r="J67" s="723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2"/>
      <c r="F68" s="68">
        <f t="shared" si="0"/>
        <v>0</v>
      </c>
      <c r="G68" s="563"/>
      <c r="H68" s="564"/>
      <c r="I68" s="713">
        <f t="shared" si="4"/>
        <v>0</v>
      </c>
      <c r="J68" s="723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2"/>
      <c r="F69" s="68">
        <f t="shared" si="0"/>
        <v>0</v>
      </c>
      <c r="G69" s="563"/>
      <c r="H69" s="564"/>
      <c r="I69" s="713">
        <f t="shared" si="4"/>
        <v>0</v>
      </c>
      <c r="J69" s="723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27"/>
      <c r="H70" s="564"/>
      <c r="I70" s="594"/>
      <c r="J70" s="594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716" t="s">
        <v>11</v>
      </c>
      <c r="D74" s="1717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659"/>
      <c r="B1" s="1659"/>
      <c r="C1" s="1659"/>
      <c r="D1" s="1659"/>
      <c r="E1" s="1659"/>
      <c r="F1" s="1659"/>
      <c r="G1" s="1659"/>
      <c r="H1" s="254">
        <v>1</v>
      </c>
      <c r="I1" s="364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1" ht="15.75" customHeight="1" thickTop="1" x14ac:dyDescent="0.25">
      <c r="A4" s="74"/>
      <c r="B4" s="74"/>
      <c r="C4" s="362"/>
      <c r="D4" s="130"/>
      <c r="E4" s="85"/>
      <c r="F4" s="72"/>
      <c r="G4" s="722"/>
      <c r="H4" s="144"/>
      <c r="I4" s="369"/>
    </row>
    <row r="5" spans="1:11" ht="15" customHeight="1" x14ac:dyDescent="0.25">
      <c r="A5" s="1667"/>
      <c r="B5" s="1683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6"/>
    </row>
    <row r="6" spans="1:11" ht="15.75" thickBot="1" x14ac:dyDescent="0.3">
      <c r="A6" s="1667"/>
      <c r="B6" s="1767"/>
      <c r="C6" s="363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9"/>
      <c r="C7" s="363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1" ht="15.75" thickTop="1" x14ac:dyDescent="0.25">
      <c r="A9" s="60"/>
      <c r="B9" s="670">
        <f>F4+F5+F6-C9+F7</f>
        <v>0</v>
      </c>
      <c r="C9" s="624"/>
      <c r="D9" s="565"/>
      <c r="E9" s="646"/>
      <c r="F9" s="562">
        <f t="shared" ref="F9:F37" si="0">D9</f>
        <v>0</v>
      </c>
      <c r="G9" s="563"/>
      <c r="H9" s="564"/>
      <c r="I9" s="230"/>
      <c r="J9" s="595">
        <f>H9*F9</f>
        <v>0</v>
      </c>
      <c r="K9" s="594"/>
    </row>
    <row r="10" spans="1:11" x14ac:dyDescent="0.25">
      <c r="A10" s="74"/>
      <c r="B10" s="670">
        <f>B9-C10</f>
        <v>0</v>
      </c>
      <c r="C10" s="624"/>
      <c r="D10" s="565"/>
      <c r="E10" s="645"/>
      <c r="F10" s="562">
        <f t="shared" si="0"/>
        <v>0</v>
      </c>
      <c r="G10" s="563"/>
      <c r="H10" s="564"/>
      <c r="I10" s="230">
        <f>I9-F10</f>
        <v>0</v>
      </c>
      <c r="J10" s="595">
        <f t="shared" ref="J10:J37" si="1">H10*F10</f>
        <v>0</v>
      </c>
      <c r="K10" s="594"/>
    </row>
    <row r="11" spans="1:11" x14ac:dyDescent="0.25">
      <c r="A11" s="74"/>
      <c r="B11" s="670">
        <f t="shared" ref="B11:B36" si="2">B10-C11</f>
        <v>0</v>
      </c>
      <c r="C11" s="624"/>
      <c r="D11" s="565"/>
      <c r="E11" s="646"/>
      <c r="F11" s="562">
        <f t="shared" si="0"/>
        <v>0</v>
      </c>
      <c r="G11" s="563"/>
      <c r="H11" s="564"/>
      <c r="I11" s="230">
        <f t="shared" ref="I11:I37" si="3">I10-F11</f>
        <v>0</v>
      </c>
      <c r="J11" s="595">
        <f t="shared" si="1"/>
        <v>0</v>
      </c>
      <c r="K11" s="594"/>
    </row>
    <row r="12" spans="1:11" x14ac:dyDescent="0.25">
      <c r="A12" s="60"/>
      <c r="B12" s="670">
        <f t="shared" si="2"/>
        <v>0</v>
      </c>
      <c r="C12" s="624"/>
      <c r="D12" s="565"/>
      <c r="E12" s="646"/>
      <c r="F12" s="562">
        <f t="shared" si="0"/>
        <v>0</v>
      </c>
      <c r="G12" s="563"/>
      <c r="H12" s="564"/>
      <c r="I12" s="230">
        <f t="shared" si="3"/>
        <v>0</v>
      </c>
      <c r="J12" s="595">
        <f t="shared" si="1"/>
        <v>0</v>
      </c>
      <c r="K12" s="594"/>
    </row>
    <row r="13" spans="1:11" x14ac:dyDescent="0.25">
      <c r="A13" s="74"/>
      <c r="B13" s="670">
        <f t="shared" si="2"/>
        <v>0</v>
      </c>
      <c r="C13" s="624"/>
      <c r="D13" s="565"/>
      <c r="E13" s="646"/>
      <c r="F13" s="562">
        <f t="shared" si="0"/>
        <v>0</v>
      </c>
      <c r="G13" s="563"/>
      <c r="H13" s="564"/>
      <c r="I13" s="230">
        <f t="shared" si="3"/>
        <v>0</v>
      </c>
      <c r="J13" s="595">
        <f t="shared" si="1"/>
        <v>0</v>
      </c>
      <c r="K13" s="594"/>
    </row>
    <row r="14" spans="1:11" x14ac:dyDescent="0.25">
      <c r="A14" s="74"/>
      <c r="B14" s="670">
        <f t="shared" si="2"/>
        <v>0</v>
      </c>
      <c r="C14" s="624"/>
      <c r="D14" s="565"/>
      <c r="E14" s="646"/>
      <c r="F14" s="562">
        <f t="shared" si="0"/>
        <v>0</v>
      </c>
      <c r="G14" s="563"/>
      <c r="H14" s="564"/>
      <c r="I14" s="230">
        <f t="shared" si="3"/>
        <v>0</v>
      </c>
      <c r="J14" s="595">
        <f t="shared" si="1"/>
        <v>0</v>
      </c>
      <c r="K14" s="594"/>
    </row>
    <row r="15" spans="1:11" x14ac:dyDescent="0.25">
      <c r="A15" s="74"/>
      <c r="B15" s="670">
        <f t="shared" si="2"/>
        <v>0</v>
      </c>
      <c r="C15" s="624"/>
      <c r="D15" s="562"/>
      <c r="E15" s="640"/>
      <c r="F15" s="562">
        <f t="shared" si="0"/>
        <v>0</v>
      </c>
      <c r="G15" s="563"/>
      <c r="H15" s="564"/>
      <c r="I15" s="230">
        <f t="shared" si="3"/>
        <v>0</v>
      </c>
      <c r="J15" s="595">
        <f t="shared" si="1"/>
        <v>0</v>
      </c>
      <c r="K15" s="594"/>
    </row>
    <row r="16" spans="1:11" x14ac:dyDescent="0.25">
      <c r="A16" s="74"/>
      <c r="B16" s="670">
        <f t="shared" si="2"/>
        <v>0</v>
      </c>
      <c r="C16" s="624"/>
      <c r="D16" s="565"/>
      <c r="E16" s="646"/>
      <c r="F16" s="562">
        <f t="shared" si="0"/>
        <v>0</v>
      </c>
      <c r="G16" s="563"/>
      <c r="H16" s="564"/>
      <c r="I16" s="230">
        <f t="shared" si="3"/>
        <v>0</v>
      </c>
      <c r="J16" s="595">
        <f t="shared" si="1"/>
        <v>0</v>
      </c>
      <c r="K16" s="594"/>
    </row>
    <row r="17" spans="1:11" x14ac:dyDescent="0.25">
      <c r="A17" s="74"/>
      <c r="B17" s="670">
        <f t="shared" si="2"/>
        <v>0</v>
      </c>
      <c r="C17" s="624"/>
      <c r="D17" s="565"/>
      <c r="E17" s="646"/>
      <c r="F17" s="562">
        <f t="shared" si="0"/>
        <v>0</v>
      </c>
      <c r="G17" s="563"/>
      <c r="H17" s="564"/>
      <c r="I17" s="230">
        <f t="shared" si="3"/>
        <v>0</v>
      </c>
      <c r="J17" s="595">
        <f t="shared" si="1"/>
        <v>0</v>
      </c>
      <c r="K17" s="594"/>
    </row>
    <row r="18" spans="1:11" x14ac:dyDescent="0.25">
      <c r="A18" s="74"/>
      <c r="B18" s="670">
        <f t="shared" si="2"/>
        <v>0</v>
      </c>
      <c r="C18" s="624"/>
      <c r="D18" s="565"/>
      <c r="E18" s="646"/>
      <c r="F18" s="562">
        <f t="shared" si="0"/>
        <v>0</v>
      </c>
      <c r="G18" s="563"/>
      <c r="H18" s="564"/>
      <c r="I18" s="230">
        <f t="shared" si="3"/>
        <v>0</v>
      </c>
      <c r="J18" s="595">
        <f t="shared" si="1"/>
        <v>0</v>
      </c>
      <c r="K18" s="594"/>
    </row>
    <row r="19" spans="1:11" x14ac:dyDescent="0.25">
      <c r="A19" s="74"/>
      <c r="B19" s="670">
        <f t="shared" si="2"/>
        <v>0</v>
      </c>
      <c r="C19" s="624"/>
      <c r="D19" s="565"/>
      <c r="E19" s="646"/>
      <c r="F19" s="562">
        <f t="shared" si="0"/>
        <v>0</v>
      </c>
      <c r="G19" s="563"/>
      <c r="H19" s="564"/>
      <c r="I19" s="230">
        <f t="shared" si="3"/>
        <v>0</v>
      </c>
      <c r="J19" s="595">
        <f t="shared" si="1"/>
        <v>0</v>
      </c>
      <c r="K19" s="594"/>
    </row>
    <row r="20" spans="1:11" x14ac:dyDescent="0.25">
      <c r="A20" s="74"/>
      <c r="B20" s="670">
        <f t="shared" si="2"/>
        <v>0</v>
      </c>
      <c r="C20" s="624"/>
      <c r="D20" s="565"/>
      <c r="E20" s="646"/>
      <c r="F20" s="562">
        <f t="shared" si="0"/>
        <v>0</v>
      </c>
      <c r="G20" s="563"/>
      <c r="H20" s="564"/>
      <c r="I20" s="230">
        <f t="shared" si="3"/>
        <v>0</v>
      </c>
      <c r="J20" s="595">
        <f t="shared" si="1"/>
        <v>0</v>
      </c>
      <c r="K20" s="594"/>
    </row>
    <row r="21" spans="1:11" x14ac:dyDescent="0.25">
      <c r="A21" s="74"/>
      <c r="B21" s="670">
        <f t="shared" si="2"/>
        <v>0</v>
      </c>
      <c r="C21" s="624"/>
      <c r="D21" s="565"/>
      <c r="E21" s="646"/>
      <c r="F21" s="562">
        <f t="shared" si="0"/>
        <v>0</v>
      </c>
      <c r="G21" s="563"/>
      <c r="H21" s="564"/>
      <c r="I21" s="230">
        <f t="shared" si="3"/>
        <v>0</v>
      </c>
      <c r="J21" s="595">
        <f t="shared" si="1"/>
        <v>0</v>
      </c>
      <c r="K21" s="594"/>
    </row>
    <row r="22" spans="1:11" x14ac:dyDescent="0.25">
      <c r="A22" s="74"/>
      <c r="B22" s="670">
        <f t="shared" si="2"/>
        <v>0</v>
      </c>
      <c r="C22" s="624"/>
      <c r="D22" s="565"/>
      <c r="E22" s="646"/>
      <c r="F22" s="562">
        <f t="shared" si="0"/>
        <v>0</v>
      </c>
      <c r="G22" s="563"/>
      <c r="H22" s="564"/>
      <c r="I22" s="230">
        <f t="shared" si="3"/>
        <v>0</v>
      </c>
      <c r="J22" s="595">
        <f t="shared" si="1"/>
        <v>0</v>
      </c>
      <c r="K22" s="59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3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3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3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3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3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3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3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3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3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3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3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3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3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3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3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3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3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3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3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3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3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3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3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3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3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3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3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3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3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3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3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3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3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3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3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3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3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3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3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3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3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3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3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3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3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3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3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3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655" t="s">
        <v>21</v>
      </c>
      <c r="E75" s="1656"/>
      <c r="F75" s="137">
        <f>G5-F73</f>
        <v>0</v>
      </c>
    </row>
    <row r="76" spans="1:10" ht="15.75" thickBot="1" x14ac:dyDescent="0.3">
      <c r="A76" s="121"/>
      <c r="D76" s="720" t="s">
        <v>4</v>
      </c>
      <c r="E76" s="721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L1" workbookViewId="0">
      <selection activeCell="W19" sqref="W19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68" t="s">
        <v>337</v>
      </c>
      <c r="B1" s="1668"/>
      <c r="C1" s="1668"/>
      <c r="D1" s="1668"/>
      <c r="E1" s="1668"/>
      <c r="F1" s="1668"/>
      <c r="G1" s="1668"/>
      <c r="H1" s="11">
        <v>1</v>
      </c>
      <c r="K1" s="1668" t="s">
        <v>337</v>
      </c>
      <c r="L1" s="1668"/>
      <c r="M1" s="1668"/>
      <c r="N1" s="1668"/>
      <c r="O1" s="1668"/>
      <c r="P1" s="1668"/>
      <c r="Q1" s="1668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27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27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392"/>
      <c r="C4" s="362"/>
      <c r="D4" s="130"/>
      <c r="E4" s="197"/>
      <c r="F4" s="61"/>
      <c r="G4" s="151"/>
      <c r="H4" s="151"/>
      <c r="K4" s="12"/>
      <c r="L4" s="1425"/>
      <c r="M4" s="362"/>
      <c r="N4" s="130"/>
      <c r="O4" s="197"/>
      <c r="P4" s="61"/>
      <c r="Q4" s="151"/>
      <c r="R4" s="151"/>
    </row>
    <row r="5" spans="1:19" ht="15" customHeight="1" x14ac:dyDescent="0.25">
      <c r="A5" s="1667" t="s">
        <v>390</v>
      </c>
      <c r="B5" s="1669" t="s">
        <v>329</v>
      </c>
      <c r="C5" s="362"/>
      <c r="D5" s="130">
        <v>45125</v>
      </c>
      <c r="E5" s="1008">
        <v>18814.919999999998</v>
      </c>
      <c r="F5" s="664">
        <v>23</v>
      </c>
      <c r="G5" s="1494">
        <v>18906</v>
      </c>
      <c r="H5" s="594"/>
      <c r="I5" s="753"/>
      <c r="J5" s="594"/>
      <c r="K5" s="1667" t="s">
        <v>390</v>
      </c>
      <c r="L5" s="1669" t="s">
        <v>329</v>
      </c>
      <c r="M5" s="362"/>
      <c r="N5" s="130">
        <v>45132</v>
      </c>
      <c r="O5" s="1008">
        <v>18287.650000000001</v>
      </c>
      <c r="P5" s="664">
        <v>23</v>
      </c>
      <c r="Q5" s="1544">
        <v>18388</v>
      </c>
      <c r="R5" s="594"/>
      <c r="S5" s="753"/>
    </row>
    <row r="6" spans="1:19" x14ac:dyDescent="0.25">
      <c r="A6" s="1667"/>
      <c r="B6" s="1669"/>
      <c r="C6" s="230"/>
      <c r="D6" s="130"/>
      <c r="E6" s="77"/>
      <c r="F6" s="61"/>
      <c r="G6" s="47"/>
      <c r="H6" s="7">
        <f>E6-G6+E7+E5-G5</f>
        <v>-91.080000000001746</v>
      </c>
      <c r="K6" s="1667"/>
      <c r="L6" s="1669"/>
      <c r="M6" s="230"/>
      <c r="N6" s="130"/>
      <c r="O6" s="77"/>
      <c r="P6" s="61"/>
      <c r="Q6" s="47"/>
      <c r="R6" s="7">
        <f>O6-Q6+O7+O5-Q5</f>
        <v>-100.34999999999854</v>
      </c>
    </row>
    <row r="7" spans="1:19" ht="15.75" thickBot="1" x14ac:dyDescent="0.3">
      <c r="B7" s="144"/>
      <c r="C7" s="371"/>
      <c r="D7" s="130"/>
      <c r="E7" s="58"/>
      <c r="F7" s="61"/>
      <c r="L7" s="144"/>
      <c r="M7" s="371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70" t="s">
        <v>391</v>
      </c>
      <c r="C9" s="624"/>
      <c r="D9" s="565">
        <v>730.5</v>
      </c>
      <c r="E9" s="592">
        <v>45125</v>
      </c>
      <c r="F9" s="565">
        <v>730.5</v>
      </c>
      <c r="G9" s="563" t="s">
        <v>630</v>
      </c>
      <c r="H9" s="564">
        <v>44</v>
      </c>
      <c r="I9" s="596">
        <f>G5-F9</f>
        <v>18175.5</v>
      </c>
      <c r="J9" s="594"/>
      <c r="K9" s="79"/>
      <c r="L9" s="670" t="s">
        <v>391</v>
      </c>
      <c r="M9" s="624"/>
      <c r="N9" s="565">
        <v>450</v>
      </c>
      <c r="O9" s="592">
        <v>45132</v>
      </c>
      <c r="P9" s="565">
        <v>450</v>
      </c>
      <c r="Q9" s="563" t="s">
        <v>689</v>
      </c>
      <c r="R9" s="564">
        <v>45</v>
      </c>
      <c r="S9" s="596">
        <f>Q5-P9</f>
        <v>17938</v>
      </c>
    </row>
    <row r="10" spans="1:19" x14ac:dyDescent="0.25">
      <c r="A10" s="185"/>
      <c r="B10" s="670" t="s">
        <v>62</v>
      </c>
      <c r="C10" s="624"/>
      <c r="D10" s="565">
        <v>905</v>
      </c>
      <c r="E10" s="592">
        <v>45125</v>
      </c>
      <c r="F10" s="565">
        <v>905</v>
      </c>
      <c r="G10" s="563" t="s">
        <v>630</v>
      </c>
      <c r="H10" s="564">
        <v>44</v>
      </c>
      <c r="I10" s="596">
        <f>G6-F10</f>
        <v>-905</v>
      </c>
      <c r="J10" s="594"/>
      <c r="K10" s="185"/>
      <c r="L10" s="670" t="s">
        <v>391</v>
      </c>
      <c r="M10" s="624"/>
      <c r="N10" s="565">
        <v>857</v>
      </c>
      <c r="O10" s="592">
        <v>45132</v>
      </c>
      <c r="P10" s="565">
        <v>857</v>
      </c>
      <c r="Q10" s="563" t="s">
        <v>689</v>
      </c>
      <c r="R10" s="564">
        <v>45</v>
      </c>
      <c r="S10" s="596">
        <f>Q6-P10</f>
        <v>-857</v>
      </c>
    </row>
    <row r="11" spans="1:19" x14ac:dyDescent="0.25">
      <c r="A11" s="174"/>
      <c r="B11" s="670" t="s">
        <v>391</v>
      </c>
      <c r="C11" s="624"/>
      <c r="D11" s="565">
        <v>716</v>
      </c>
      <c r="E11" s="592">
        <v>45125</v>
      </c>
      <c r="F11" s="565">
        <v>716</v>
      </c>
      <c r="G11" s="563" t="s">
        <v>630</v>
      </c>
      <c r="H11" s="564">
        <v>44</v>
      </c>
      <c r="I11" s="596">
        <f t="shared" ref="I11" si="0">G7-F11</f>
        <v>-716</v>
      </c>
      <c r="J11" s="594"/>
      <c r="K11" s="174"/>
      <c r="L11" s="670" t="s">
        <v>392</v>
      </c>
      <c r="M11" s="624"/>
      <c r="N11" s="565">
        <v>805.5</v>
      </c>
      <c r="O11" s="592">
        <v>45132</v>
      </c>
      <c r="P11" s="565">
        <v>805.5</v>
      </c>
      <c r="Q11" s="563" t="s">
        <v>689</v>
      </c>
      <c r="R11" s="564">
        <v>45</v>
      </c>
      <c r="S11" s="596">
        <f t="shared" ref="S11" si="1">Q7-P11</f>
        <v>-805.5</v>
      </c>
    </row>
    <row r="12" spans="1:19" x14ac:dyDescent="0.25">
      <c r="A12" s="174"/>
      <c r="B12" s="670" t="s">
        <v>392</v>
      </c>
      <c r="C12" s="624"/>
      <c r="D12" s="565">
        <v>848</v>
      </c>
      <c r="E12" s="592">
        <v>45125</v>
      </c>
      <c r="F12" s="565">
        <v>848</v>
      </c>
      <c r="G12" s="563" t="s">
        <v>630</v>
      </c>
      <c r="H12" s="564">
        <v>44</v>
      </c>
      <c r="I12" s="596">
        <f>I11-F12</f>
        <v>-1564</v>
      </c>
      <c r="J12" s="594"/>
      <c r="K12" s="174"/>
      <c r="L12" s="670" t="s">
        <v>62</v>
      </c>
      <c r="M12" s="624"/>
      <c r="N12" s="565">
        <v>901.5</v>
      </c>
      <c r="O12" s="592">
        <v>45132</v>
      </c>
      <c r="P12" s="565">
        <v>901.5</v>
      </c>
      <c r="Q12" s="563" t="s">
        <v>689</v>
      </c>
      <c r="R12" s="564">
        <v>45</v>
      </c>
      <c r="S12" s="596">
        <f>S11-P12</f>
        <v>-1707</v>
      </c>
    </row>
    <row r="13" spans="1:19" x14ac:dyDescent="0.25">
      <c r="A13" s="81"/>
      <c r="B13" s="670" t="s">
        <v>392</v>
      </c>
      <c r="C13" s="624"/>
      <c r="D13" s="565">
        <v>833.5</v>
      </c>
      <c r="E13" s="592">
        <v>45125</v>
      </c>
      <c r="F13" s="565">
        <v>833.5</v>
      </c>
      <c r="G13" s="563" t="s">
        <v>630</v>
      </c>
      <c r="H13" s="564">
        <v>44</v>
      </c>
      <c r="I13" s="596">
        <f t="shared" ref="I13:I33" si="2">I12-F13</f>
        <v>-2397.5</v>
      </c>
      <c r="J13" s="594"/>
      <c r="K13" s="81"/>
      <c r="L13" s="670" t="s">
        <v>392</v>
      </c>
      <c r="M13" s="624"/>
      <c r="N13" s="565">
        <v>790.5</v>
      </c>
      <c r="O13" s="592">
        <v>45132</v>
      </c>
      <c r="P13" s="565">
        <v>790.5</v>
      </c>
      <c r="Q13" s="563" t="s">
        <v>689</v>
      </c>
      <c r="R13" s="564">
        <v>45</v>
      </c>
      <c r="S13" s="596">
        <f t="shared" ref="S13:S33" si="3">S12-P13</f>
        <v>-2497.5</v>
      </c>
    </row>
    <row r="14" spans="1:19" x14ac:dyDescent="0.25">
      <c r="A14" s="1392"/>
      <c r="B14" s="670" t="s">
        <v>392</v>
      </c>
      <c r="C14" s="624"/>
      <c r="D14" s="565">
        <v>655</v>
      </c>
      <c r="E14" s="592">
        <v>45125</v>
      </c>
      <c r="F14" s="565">
        <v>655</v>
      </c>
      <c r="G14" s="563" t="s">
        <v>630</v>
      </c>
      <c r="H14" s="564">
        <v>44</v>
      </c>
      <c r="I14" s="596">
        <f t="shared" si="2"/>
        <v>-3052.5</v>
      </c>
      <c r="J14" s="594"/>
      <c r="K14" s="1425"/>
      <c r="L14" s="670" t="s">
        <v>392</v>
      </c>
      <c r="M14" s="624"/>
      <c r="N14" s="565">
        <v>837.5</v>
      </c>
      <c r="O14" s="592">
        <v>45132</v>
      </c>
      <c r="P14" s="565">
        <v>837.5</v>
      </c>
      <c r="Q14" s="563" t="s">
        <v>689</v>
      </c>
      <c r="R14" s="564">
        <v>45</v>
      </c>
      <c r="S14" s="596">
        <f t="shared" si="3"/>
        <v>-3335</v>
      </c>
    </row>
    <row r="15" spans="1:19" x14ac:dyDescent="0.25">
      <c r="A15" s="1392"/>
      <c r="B15" s="670" t="s">
        <v>392</v>
      </c>
      <c r="C15" s="624"/>
      <c r="D15" s="565">
        <v>873.5</v>
      </c>
      <c r="E15" s="592">
        <v>45125</v>
      </c>
      <c r="F15" s="565">
        <v>873.5</v>
      </c>
      <c r="G15" s="563" t="s">
        <v>630</v>
      </c>
      <c r="H15" s="564">
        <v>44</v>
      </c>
      <c r="I15" s="596">
        <f t="shared" si="2"/>
        <v>-3926</v>
      </c>
      <c r="J15" s="594"/>
      <c r="K15" s="1425"/>
      <c r="L15" s="670" t="s">
        <v>392</v>
      </c>
      <c r="M15" s="624"/>
      <c r="N15" s="565">
        <v>333</v>
      </c>
      <c r="O15" s="592">
        <v>45132</v>
      </c>
      <c r="P15" s="565">
        <v>333</v>
      </c>
      <c r="Q15" s="563" t="s">
        <v>689</v>
      </c>
      <c r="R15" s="564">
        <v>45</v>
      </c>
      <c r="S15" s="596">
        <f t="shared" si="3"/>
        <v>-3668</v>
      </c>
    </row>
    <row r="16" spans="1:19" x14ac:dyDescent="0.25">
      <c r="B16" s="174" t="s">
        <v>391</v>
      </c>
      <c r="C16" s="624"/>
      <c r="D16" s="565">
        <v>835.5</v>
      </c>
      <c r="E16" s="592">
        <v>45125</v>
      </c>
      <c r="F16" s="565">
        <v>835.5</v>
      </c>
      <c r="G16" s="563" t="s">
        <v>630</v>
      </c>
      <c r="H16" s="564">
        <v>44</v>
      </c>
      <c r="I16" s="596">
        <f t="shared" si="2"/>
        <v>-4761.5</v>
      </c>
      <c r="L16" s="174" t="s">
        <v>391</v>
      </c>
      <c r="M16" s="624"/>
      <c r="N16" s="565">
        <v>891.5</v>
      </c>
      <c r="O16" s="592">
        <v>45132</v>
      </c>
      <c r="P16" s="565">
        <v>891.5</v>
      </c>
      <c r="Q16" s="563" t="s">
        <v>689</v>
      </c>
      <c r="R16" s="564">
        <v>45</v>
      </c>
      <c r="S16" s="596">
        <f t="shared" si="3"/>
        <v>-4559.5</v>
      </c>
    </row>
    <row r="17" spans="1:19" x14ac:dyDescent="0.25">
      <c r="B17" s="174" t="s">
        <v>62</v>
      </c>
      <c r="C17" s="624"/>
      <c r="D17" s="565">
        <v>857.5</v>
      </c>
      <c r="E17" s="592">
        <v>45125</v>
      </c>
      <c r="F17" s="565">
        <v>857.5</v>
      </c>
      <c r="G17" s="563" t="s">
        <v>630</v>
      </c>
      <c r="H17" s="564">
        <v>44</v>
      </c>
      <c r="I17" s="596">
        <f t="shared" si="2"/>
        <v>-5619</v>
      </c>
      <c r="L17" s="174" t="s">
        <v>62</v>
      </c>
      <c r="M17" s="624"/>
      <c r="N17" s="565">
        <v>863</v>
      </c>
      <c r="O17" s="592">
        <v>45132</v>
      </c>
      <c r="P17" s="565">
        <v>863</v>
      </c>
      <c r="Q17" s="563" t="s">
        <v>689</v>
      </c>
      <c r="R17" s="564">
        <v>45</v>
      </c>
      <c r="S17" s="596">
        <f t="shared" si="3"/>
        <v>-5422.5</v>
      </c>
    </row>
    <row r="18" spans="1:19" x14ac:dyDescent="0.25">
      <c r="A18" s="118"/>
      <c r="B18" s="174" t="s">
        <v>392</v>
      </c>
      <c r="C18" s="624"/>
      <c r="D18" s="565">
        <v>597.5</v>
      </c>
      <c r="E18" s="592">
        <v>45125</v>
      </c>
      <c r="F18" s="565">
        <v>597.5</v>
      </c>
      <c r="G18" s="563" t="s">
        <v>630</v>
      </c>
      <c r="H18" s="564">
        <v>44</v>
      </c>
      <c r="I18" s="596">
        <f t="shared" si="2"/>
        <v>-6216.5</v>
      </c>
      <c r="K18" s="118"/>
      <c r="L18" s="174" t="s">
        <v>392</v>
      </c>
      <c r="M18" s="624"/>
      <c r="N18" s="565">
        <v>824.5</v>
      </c>
      <c r="O18" s="592">
        <v>45132</v>
      </c>
      <c r="P18" s="565">
        <v>824.5</v>
      </c>
      <c r="Q18" s="563" t="s">
        <v>689</v>
      </c>
      <c r="R18" s="564">
        <v>45</v>
      </c>
      <c r="S18" s="596">
        <f t="shared" si="3"/>
        <v>-6247</v>
      </c>
    </row>
    <row r="19" spans="1:19" x14ac:dyDescent="0.25">
      <c r="A19" s="118"/>
      <c r="B19" s="174" t="s">
        <v>62</v>
      </c>
      <c r="C19" s="624"/>
      <c r="D19" s="565">
        <v>758</v>
      </c>
      <c r="E19" s="592">
        <v>45125</v>
      </c>
      <c r="F19" s="565">
        <v>758</v>
      </c>
      <c r="G19" s="563" t="s">
        <v>630</v>
      </c>
      <c r="H19" s="564">
        <v>44</v>
      </c>
      <c r="I19" s="596">
        <f t="shared" si="2"/>
        <v>-6974.5</v>
      </c>
      <c r="K19" s="118"/>
      <c r="L19" s="174" t="s">
        <v>62</v>
      </c>
      <c r="M19" s="624"/>
      <c r="N19" s="565">
        <v>861.5</v>
      </c>
      <c r="O19" s="592">
        <v>45132</v>
      </c>
      <c r="P19" s="565">
        <v>861.5</v>
      </c>
      <c r="Q19" s="563" t="s">
        <v>689</v>
      </c>
      <c r="R19" s="564">
        <v>45</v>
      </c>
      <c r="S19" s="596">
        <f t="shared" si="3"/>
        <v>-7108.5</v>
      </c>
    </row>
    <row r="20" spans="1:19" x14ac:dyDescent="0.25">
      <c r="A20" s="118"/>
      <c r="B20" s="174" t="s">
        <v>391</v>
      </c>
      <c r="C20" s="624"/>
      <c r="D20" s="565">
        <v>885</v>
      </c>
      <c r="E20" s="592">
        <v>45125</v>
      </c>
      <c r="F20" s="565">
        <v>885</v>
      </c>
      <c r="G20" s="563" t="s">
        <v>630</v>
      </c>
      <c r="H20" s="564">
        <v>44</v>
      </c>
      <c r="I20" s="596">
        <f t="shared" si="2"/>
        <v>-7859.5</v>
      </c>
      <c r="K20" s="118"/>
      <c r="L20" s="174" t="s">
        <v>62</v>
      </c>
      <c r="M20" s="624"/>
      <c r="N20" s="565">
        <v>924</v>
      </c>
      <c r="O20" s="592">
        <v>45132</v>
      </c>
      <c r="P20" s="565">
        <v>924</v>
      </c>
      <c r="Q20" s="563" t="s">
        <v>689</v>
      </c>
      <c r="R20" s="564">
        <v>45</v>
      </c>
      <c r="S20" s="596">
        <f t="shared" si="3"/>
        <v>-8032.5</v>
      </c>
    </row>
    <row r="21" spans="1:19" x14ac:dyDescent="0.25">
      <c r="A21" s="118"/>
      <c r="B21" s="174" t="s">
        <v>391</v>
      </c>
      <c r="C21" s="624"/>
      <c r="D21" s="565">
        <v>870.5</v>
      </c>
      <c r="E21" s="592">
        <v>45125</v>
      </c>
      <c r="F21" s="565">
        <v>870.5</v>
      </c>
      <c r="G21" s="563" t="s">
        <v>631</v>
      </c>
      <c r="H21" s="564">
        <v>44</v>
      </c>
      <c r="I21" s="596">
        <f t="shared" si="2"/>
        <v>-8730</v>
      </c>
      <c r="K21" s="118"/>
      <c r="L21" s="174" t="s">
        <v>391</v>
      </c>
      <c r="M21" s="624"/>
      <c r="N21" s="565">
        <v>681</v>
      </c>
      <c r="O21" s="592">
        <v>45132</v>
      </c>
      <c r="P21" s="565">
        <v>681</v>
      </c>
      <c r="Q21" s="563" t="s">
        <v>690</v>
      </c>
      <c r="R21" s="564">
        <v>45</v>
      </c>
      <c r="S21" s="596">
        <f t="shared" si="3"/>
        <v>-8713.5</v>
      </c>
    </row>
    <row r="22" spans="1:19" x14ac:dyDescent="0.25">
      <c r="A22" s="118"/>
      <c r="B22" s="174" t="s">
        <v>391</v>
      </c>
      <c r="C22" s="624"/>
      <c r="D22" s="565">
        <v>877.5</v>
      </c>
      <c r="E22" s="592">
        <v>45125</v>
      </c>
      <c r="F22" s="565">
        <v>877.5</v>
      </c>
      <c r="G22" s="563" t="s">
        <v>631</v>
      </c>
      <c r="H22" s="564">
        <v>44</v>
      </c>
      <c r="I22" s="596">
        <f t="shared" si="2"/>
        <v>-9607.5</v>
      </c>
      <c r="K22" s="118"/>
      <c r="L22" s="174" t="s">
        <v>62</v>
      </c>
      <c r="M22" s="624"/>
      <c r="N22" s="565">
        <v>732.5</v>
      </c>
      <c r="O22" s="592">
        <v>45132</v>
      </c>
      <c r="P22" s="565">
        <v>732.5</v>
      </c>
      <c r="Q22" s="563" t="s">
        <v>690</v>
      </c>
      <c r="R22" s="564">
        <v>45</v>
      </c>
      <c r="S22" s="596">
        <f t="shared" si="3"/>
        <v>-9446</v>
      </c>
    </row>
    <row r="23" spans="1:19" x14ac:dyDescent="0.25">
      <c r="A23" s="119"/>
      <c r="B23" s="174" t="s">
        <v>62</v>
      </c>
      <c r="C23" s="15"/>
      <c r="D23" s="68">
        <v>858</v>
      </c>
      <c r="E23" s="592">
        <v>45125</v>
      </c>
      <c r="F23" s="68">
        <v>858</v>
      </c>
      <c r="G23" s="563" t="s">
        <v>631</v>
      </c>
      <c r="H23" s="564">
        <v>44</v>
      </c>
      <c r="I23" s="596">
        <f t="shared" si="2"/>
        <v>-10465.5</v>
      </c>
      <c r="K23" s="119"/>
      <c r="L23" s="174" t="s">
        <v>392</v>
      </c>
      <c r="M23" s="15"/>
      <c r="N23" s="68">
        <v>836</v>
      </c>
      <c r="O23" s="592">
        <v>45132</v>
      </c>
      <c r="P23" s="68">
        <v>836</v>
      </c>
      <c r="Q23" s="563" t="s">
        <v>690</v>
      </c>
      <c r="R23" s="564">
        <v>45</v>
      </c>
      <c r="S23" s="596">
        <f t="shared" si="3"/>
        <v>-10282</v>
      </c>
    </row>
    <row r="24" spans="1:19" x14ac:dyDescent="0.25">
      <c r="A24" s="118"/>
      <c r="B24" s="174" t="s">
        <v>62</v>
      </c>
      <c r="C24" s="15"/>
      <c r="D24" s="68">
        <v>892.5</v>
      </c>
      <c r="E24" s="592">
        <v>45125</v>
      </c>
      <c r="F24" s="68">
        <v>892.5</v>
      </c>
      <c r="G24" s="563" t="s">
        <v>631</v>
      </c>
      <c r="H24" s="564">
        <v>44</v>
      </c>
      <c r="I24" s="596">
        <f t="shared" si="2"/>
        <v>-11358</v>
      </c>
      <c r="K24" s="118"/>
      <c r="L24" s="174" t="s">
        <v>391</v>
      </c>
      <c r="M24" s="15"/>
      <c r="N24" s="68">
        <v>877.5</v>
      </c>
      <c r="O24" s="592">
        <v>45132</v>
      </c>
      <c r="P24" s="68">
        <v>877.5</v>
      </c>
      <c r="Q24" s="563" t="s">
        <v>690</v>
      </c>
      <c r="R24" s="564">
        <v>45</v>
      </c>
      <c r="S24" s="596">
        <f t="shared" si="3"/>
        <v>-11159.5</v>
      </c>
    </row>
    <row r="25" spans="1:19" x14ac:dyDescent="0.25">
      <c r="A25" s="118"/>
      <c r="B25" s="174" t="s">
        <v>392</v>
      </c>
      <c r="C25" s="15"/>
      <c r="D25" s="68">
        <v>807</v>
      </c>
      <c r="E25" s="592">
        <v>45125</v>
      </c>
      <c r="F25" s="68">
        <v>807</v>
      </c>
      <c r="G25" s="563" t="s">
        <v>631</v>
      </c>
      <c r="H25" s="564">
        <v>44</v>
      </c>
      <c r="I25" s="596">
        <f t="shared" si="2"/>
        <v>-12165</v>
      </c>
      <c r="K25" s="118"/>
      <c r="L25" s="174" t="s">
        <v>391</v>
      </c>
      <c r="M25" s="15"/>
      <c r="N25" s="68">
        <v>897</v>
      </c>
      <c r="O25" s="592">
        <v>45132</v>
      </c>
      <c r="P25" s="68">
        <v>897</v>
      </c>
      <c r="Q25" s="563" t="s">
        <v>690</v>
      </c>
      <c r="R25" s="564">
        <v>45</v>
      </c>
      <c r="S25" s="596">
        <f t="shared" si="3"/>
        <v>-12056.5</v>
      </c>
    </row>
    <row r="26" spans="1:19" x14ac:dyDescent="0.25">
      <c r="A26" s="118"/>
      <c r="B26" s="174" t="s">
        <v>62</v>
      </c>
      <c r="C26" s="15"/>
      <c r="D26" s="68">
        <v>863.5</v>
      </c>
      <c r="E26" s="592">
        <v>45125</v>
      </c>
      <c r="F26" s="68">
        <v>863.5</v>
      </c>
      <c r="G26" s="563" t="s">
        <v>631</v>
      </c>
      <c r="H26" s="564">
        <v>44</v>
      </c>
      <c r="I26" s="596">
        <f t="shared" si="2"/>
        <v>-13028.5</v>
      </c>
      <c r="K26" s="118"/>
      <c r="L26" s="174" t="s">
        <v>62</v>
      </c>
      <c r="M26" s="15"/>
      <c r="N26" s="68">
        <v>839.5</v>
      </c>
      <c r="O26" s="592">
        <v>45132</v>
      </c>
      <c r="P26" s="68">
        <v>839.5</v>
      </c>
      <c r="Q26" s="563" t="s">
        <v>690</v>
      </c>
      <c r="R26" s="564">
        <v>45</v>
      </c>
      <c r="S26" s="596">
        <f t="shared" si="3"/>
        <v>-12896</v>
      </c>
    </row>
    <row r="27" spans="1:19" x14ac:dyDescent="0.25">
      <c r="A27" s="118"/>
      <c r="B27" s="174" t="s">
        <v>392</v>
      </c>
      <c r="C27" s="15"/>
      <c r="D27" s="68">
        <v>866</v>
      </c>
      <c r="E27" s="592">
        <v>45125</v>
      </c>
      <c r="F27" s="68">
        <v>866</v>
      </c>
      <c r="G27" s="563" t="s">
        <v>631</v>
      </c>
      <c r="H27" s="564">
        <v>44</v>
      </c>
      <c r="I27" s="596">
        <f t="shared" si="2"/>
        <v>-13894.5</v>
      </c>
      <c r="K27" s="118"/>
      <c r="L27" s="174" t="s">
        <v>392</v>
      </c>
      <c r="M27" s="15"/>
      <c r="N27" s="68">
        <v>838</v>
      </c>
      <c r="O27" s="592">
        <v>45132</v>
      </c>
      <c r="P27" s="68">
        <v>838</v>
      </c>
      <c r="Q27" s="563" t="s">
        <v>690</v>
      </c>
      <c r="R27" s="564">
        <v>45</v>
      </c>
      <c r="S27" s="596">
        <f t="shared" si="3"/>
        <v>-13734</v>
      </c>
    </row>
    <row r="28" spans="1:19" x14ac:dyDescent="0.25">
      <c r="A28" s="118"/>
      <c r="B28" s="174" t="s">
        <v>391</v>
      </c>
      <c r="C28" s="15"/>
      <c r="D28" s="68">
        <v>861.5</v>
      </c>
      <c r="E28" s="592">
        <v>45125</v>
      </c>
      <c r="F28" s="68">
        <v>861.5</v>
      </c>
      <c r="G28" s="563" t="s">
        <v>631</v>
      </c>
      <c r="H28" s="564">
        <v>44</v>
      </c>
      <c r="I28" s="596">
        <f t="shared" si="2"/>
        <v>-14756</v>
      </c>
      <c r="K28" s="118"/>
      <c r="L28" s="174" t="s">
        <v>391</v>
      </c>
      <c r="M28" s="15"/>
      <c r="N28" s="68">
        <v>903.5</v>
      </c>
      <c r="O28" s="592">
        <v>45132</v>
      </c>
      <c r="P28" s="68">
        <v>903.5</v>
      </c>
      <c r="Q28" s="563" t="s">
        <v>690</v>
      </c>
      <c r="R28" s="564">
        <v>45</v>
      </c>
      <c r="S28" s="596">
        <f t="shared" si="3"/>
        <v>-14637.5</v>
      </c>
    </row>
    <row r="29" spans="1:19" x14ac:dyDescent="0.25">
      <c r="A29" s="118"/>
      <c r="B29" s="174" t="s">
        <v>62</v>
      </c>
      <c r="C29" s="15"/>
      <c r="D29" s="68">
        <v>882</v>
      </c>
      <c r="E29" s="592">
        <v>45125</v>
      </c>
      <c r="F29" s="68">
        <v>882</v>
      </c>
      <c r="G29" s="563" t="s">
        <v>631</v>
      </c>
      <c r="H29" s="564">
        <v>44</v>
      </c>
      <c r="I29" s="596">
        <f t="shared" si="2"/>
        <v>-15638</v>
      </c>
      <c r="K29" s="118"/>
      <c r="L29" s="174" t="s">
        <v>392</v>
      </c>
      <c r="M29" s="15"/>
      <c r="N29" s="68">
        <v>787</v>
      </c>
      <c r="O29" s="592">
        <v>45132</v>
      </c>
      <c r="P29" s="68">
        <v>787</v>
      </c>
      <c r="Q29" s="563" t="s">
        <v>690</v>
      </c>
      <c r="R29" s="564">
        <v>45</v>
      </c>
      <c r="S29" s="596">
        <f t="shared" si="3"/>
        <v>-15424.5</v>
      </c>
    </row>
    <row r="30" spans="1:19" x14ac:dyDescent="0.25">
      <c r="A30" s="118"/>
      <c r="B30" s="174" t="s">
        <v>392</v>
      </c>
      <c r="C30" s="15"/>
      <c r="D30" s="68">
        <v>826.5</v>
      </c>
      <c r="E30" s="592">
        <v>45125</v>
      </c>
      <c r="F30" s="68">
        <v>826.5</v>
      </c>
      <c r="G30" s="563" t="s">
        <v>631</v>
      </c>
      <c r="H30" s="564">
        <v>44</v>
      </c>
      <c r="I30" s="596">
        <f t="shared" si="2"/>
        <v>-16464.5</v>
      </c>
      <c r="K30" s="118"/>
      <c r="L30" s="174" t="s">
        <v>62</v>
      </c>
      <c r="M30" s="15"/>
      <c r="N30" s="68">
        <v>895.5</v>
      </c>
      <c r="O30" s="592">
        <v>45132</v>
      </c>
      <c r="P30" s="68">
        <v>895.5</v>
      </c>
      <c r="Q30" s="563" t="s">
        <v>690</v>
      </c>
      <c r="R30" s="564">
        <v>45</v>
      </c>
      <c r="S30" s="596">
        <f t="shared" si="3"/>
        <v>-16320</v>
      </c>
    </row>
    <row r="31" spans="1:19" x14ac:dyDescent="0.25">
      <c r="A31" s="118"/>
      <c r="B31" s="174" t="s">
        <v>392</v>
      </c>
      <c r="C31" s="15"/>
      <c r="D31" s="68">
        <v>806</v>
      </c>
      <c r="E31" s="592">
        <v>45125</v>
      </c>
      <c r="F31" s="68">
        <v>806</v>
      </c>
      <c r="G31" s="563" t="s">
        <v>631</v>
      </c>
      <c r="H31" s="564">
        <v>44</v>
      </c>
      <c r="I31" s="596">
        <f t="shared" si="2"/>
        <v>-17270.5</v>
      </c>
      <c r="K31" s="118"/>
      <c r="L31" s="174" t="s">
        <v>392</v>
      </c>
      <c r="M31" s="15"/>
      <c r="N31" s="68">
        <v>761</v>
      </c>
      <c r="O31" s="592">
        <v>45132</v>
      </c>
      <c r="P31" s="68">
        <v>761</v>
      </c>
      <c r="Q31" s="563" t="s">
        <v>690</v>
      </c>
      <c r="R31" s="564">
        <v>45</v>
      </c>
      <c r="S31" s="596">
        <f t="shared" si="3"/>
        <v>-17081</v>
      </c>
    </row>
    <row r="32" spans="1:19" x14ac:dyDescent="0.25">
      <c r="A32" s="118"/>
      <c r="B32" s="174"/>
      <c r="C32" s="15"/>
      <c r="D32" s="68"/>
      <c r="E32" s="191"/>
      <c r="F32" s="565">
        <v>0</v>
      </c>
      <c r="G32" s="69"/>
      <c r="H32" s="70"/>
      <c r="I32" s="596">
        <f t="shared" si="2"/>
        <v>-17270.5</v>
      </c>
      <c r="K32" s="118"/>
      <c r="L32" s="174"/>
      <c r="M32" s="15"/>
      <c r="N32" s="68"/>
      <c r="O32" s="191"/>
      <c r="P32" s="565">
        <v>0</v>
      </c>
      <c r="Q32" s="69"/>
      <c r="R32" s="70"/>
      <c r="S32" s="596">
        <f t="shared" si="3"/>
        <v>-17081</v>
      </c>
    </row>
    <row r="33" spans="1:19" x14ac:dyDescent="0.25">
      <c r="A33" s="118"/>
      <c r="B33" s="174"/>
      <c r="C33" s="15"/>
      <c r="D33" s="68"/>
      <c r="E33" s="191"/>
      <c r="F33" s="565">
        <v>0</v>
      </c>
      <c r="G33" s="69"/>
      <c r="H33" s="70"/>
      <c r="I33" s="596">
        <f t="shared" si="2"/>
        <v>-17270.5</v>
      </c>
      <c r="K33" s="118"/>
      <c r="L33" s="174"/>
      <c r="M33" s="15"/>
      <c r="N33" s="68"/>
      <c r="O33" s="191"/>
      <c r="P33" s="565">
        <v>0</v>
      </c>
      <c r="Q33" s="69"/>
      <c r="R33" s="70"/>
      <c r="S33" s="596">
        <f t="shared" si="3"/>
        <v>-17081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18906</v>
      </c>
      <c r="F35" s="6">
        <f>SUM(F9:F34)</f>
        <v>18906</v>
      </c>
      <c r="M35" s="53">
        <f>SUM(M9:M34)</f>
        <v>0</v>
      </c>
      <c r="N35" s="6">
        <f>SUM(N9:N34)</f>
        <v>18388</v>
      </c>
      <c r="P35" s="6">
        <f>SUM(P9:P34)</f>
        <v>18388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23</v>
      </c>
      <c r="N38" s="45" t="s">
        <v>4</v>
      </c>
      <c r="O38" s="55">
        <f>P5+P6-M35+P7</f>
        <v>23</v>
      </c>
    </row>
    <row r="39" spans="1:19" ht="15.75" thickBot="1" x14ac:dyDescent="0.3"/>
    <row r="40" spans="1:19" ht="15.75" thickBot="1" x14ac:dyDescent="0.3">
      <c r="C40" s="1665" t="s">
        <v>11</v>
      </c>
      <c r="D40" s="1666"/>
      <c r="E40" s="56">
        <f>E5+E6-F35+E7</f>
        <v>-91.080000000001746</v>
      </c>
      <c r="F40" s="1392"/>
      <c r="M40" s="1665" t="s">
        <v>11</v>
      </c>
      <c r="N40" s="1666"/>
      <c r="O40" s="56">
        <f>O5+O6-P35+O7</f>
        <v>-100.34999999999854</v>
      </c>
      <c r="P40" s="1425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671"/>
      <c r="B5" s="1768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671"/>
      <c r="B6" s="1768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4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665" t="s">
        <v>11</v>
      </c>
      <c r="D60" s="1666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D12" sqref="D12"/>
    </sheetView>
  </sheetViews>
  <sheetFormatPr baseColWidth="10" defaultRowHeight="15" x14ac:dyDescent="0.25"/>
  <cols>
    <col min="1" max="1" width="32.42578125" bestFit="1" customWidth="1"/>
    <col min="2" max="2" width="17.7109375" style="1155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659"/>
      <c r="B1" s="1659"/>
      <c r="C1" s="1659"/>
      <c r="D1" s="1659"/>
      <c r="E1" s="1659"/>
      <c r="F1" s="1659"/>
      <c r="G1" s="1659"/>
      <c r="H1" s="254">
        <v>1</v>
      </c>
      <c r="I1" s="364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3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5"/>
    </row>
    <row r="4" spans="1:19" ht="15.75" thickTop="1" x14ac:dyDescent="0.25">
      <c r="A4" s="74"/>
      <c r="B4" s="74"/>
      <c r="C4" s="362"/>
      <c r="D4" s="130"/>
      <c r="E4" s="85"/>
      <c r="F4" s="1155"/>
      <c r="G4" s="1156"/>
      <c r="H4" s="144"/>
      <c r="I4" s="369"/>
    </row>
    <row r="5" spans="1:19" ht="15" customHeight="1" x14ac:dyDescent="0.25">
      <c r="A5" s="1671"/>
      <c r="B5" s="1693" t="s">
        <v>180</v>
      </c>
      <c r="C5" s="230"/>
      <c r="D5" s="578"/>
      <c r="E5" s="560"/>
      <c r="F5" s="576"/>
      <c r="G5" s="48"/>
      <c r="H5" s="134">
        <f>E5-G5</f>
        <v>0</v>
      </c>
      <c r="I5" s="366"/>
    </row>
    <row r="6" spans="1:19" x14ac:dyDescent="0.25">
      <c r="A6" s="1671"/>
      <c r="B6" s="1693"/>
      <c r="C6" s="230"/>
      <c r="D6" s="578"/>
      <c r="E6" s="560"/>
      <c r="F6" s="576"/>
      <c r="G6" s="1155"/>
      <c r="H6" s="74"/>
      <c r="I6" s="230"/>
    </row>
    <row r="7" spans="1:19" ht="15.75" thickBot="1" x14ac:dyDescent="0.3">
      <c r="A7" s="213"/>
      <c r="B7" s="1693"/>
      <c r="C7" s="230"/>
      <c r="D7" s="578"/>
      <c r="E7" s="560"/>
      <c r="F7" s="576"/>
      <c r="G7" s="1155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7"/>
    </row>
    <row r="9" spans="1:19" ht="15.75" thickTop="1" x14ac:dyDescent="0.25">
      <c r="A9" s="60"/>
      <c r="B9" s="174">
        <f>F4+F5+F6-C9+F7</f>
        <v>0</v>
      </c>
      <c r="C9" s="1218"/>
      <c r="D9" s="565">
        <v>0</v>
      </c>
      <c r="E9" s="646"/>
      <c r="F9" s="562">
        <f t="shared" ref="F9" si="0">D9</f>
        <v>0</v>
      </c>
      <c r="G9" s="563"/>
      <c r="H9" s="564"/>
      <c r="I9" s="363">
        <f>E4+E5+E6-F9+E7</f>
        <v>0</v>
      </c>
      <c r="J9" s="59">
        <f>H9*F9</f>
        <v>0</v>
      </c>
    </row>
    <row r="10" spans="1:19" x14ac:dyDescent="0.25">
      <c r="A10" s="74"/>
      <c r="B10" s="670">
        <f>B9-C10</f>
        <v>0</v>
      </c>
      <c r="C10" s="624"/>
      <c r="D10" s="565">
        <v>0</v>
      </c>
      <c r="E10" s="646"/>
      <c r="F10" s="562">
        <f t="shared" ref="F10:F38" si="1">D10</f>
        <v>0</v>
      </c>
      <c r="G10" s="563"/>
      <c r="H10" s="564"/>
      <c r="I10" s="230">
        <f>I9-F10</f>
        <v>0</v>
      </c>
      <c r="J10" s="595">
        <f t="shared" ref="J10:J37" si="2">H10*F10</f>
        <v>0</v>
      </c>
    </row>
    <row r="11" spans="1:19" x14ac:dyDescent="0.25">
      <c r="A11" s="74"/>
      <c r="B11" s="670">
        <f t="shared" ref="B11:B36" si="3">B10-C11</f>
        <v>0</v>
      </c>
      <c r="C11" s="624"/>
      <c r="D11" s="565">
        <v>0</v>
      </c>
      <c r="E11" s="646"/>
      <c r="F11" s="562">
        <f t="shared" si="1"/>
        <v>0</v>
      </c>
      <c r="G11" s="563"/>
      <c r="H11" s="564"/>
      <c r="I11" s="230">
        <f t="shared" ref="I11:I17" si="4">I10-F11</f>
        <v>0</v>
      </c>
      <c r="J11" s="595">
        <f t="shared" si="2"/>
        <v>0</v>
      </c>
      <c r="M11" s="1305"/>
      <c r="N11" s="1305"/>
      <c r="O11" s="1305"/>
      <c r="P11" s="1305"/>
      <c r="Q11" s="1305"/>
      <c r="R11" s="1305"/>
      <c r="S11" s="1305"/>
    </row>
    <row r="12" spans="1:19" ht="25.5" x14ac:dyDescent="0.35">
      <c r="A12" s="60"/>
      <c r="B12" s="670">
        <f t="shared" si="3"/>
        <v>0</v>
      </c>
      <c r="C12" s="624"/>
      <c r="D12" s="565">
        <v>0</v>
      </c>
      <c r="E12" s="646"/>
      <c r="F12" s="562">
        <f t="shared" si="1"/>
        <v>0</v>
      </c>
      <c r="G12" s="563"/>
      <c r="H12" s="564"/>
      <c r="I12" s="230">
        <f t="shared" si="4"/>
        <v>0</v>
      </c>
      <c r="J12" s="595">
        <f t="shared" si="2"/>
        <v>0</v>
      </c>
      <c r="M12" s="1306"/>
      <c r="N12" s="1305"/>
      <c r="O12" s="1305"/>
      <c r="P12" s="1305"/>
      <c r="Q12" s="1305"/>
      <c r="R12" s="1305"/>
      <c r="S12" s="1305"/>
    </row>
    <row r="13" spans="1:19" ht="25.5" x14ac:dyDescent="0.35">
      <c r="A13" s="74"/>
      <c r="B13" s="670">
        <f t="shared" si="3"/>
        <v>0</v>
      </c>
      <c r="C13" s="624"/>
      <c r="D13" s="565">
        <v>0</v>
      </c>
      <c r="E13" s="972"/>
      <c r="F13" s="562">
        <f t="shared" si="1"/>
        <v>0</v>
      </c>
      <c r="G13" s="563"/>
      <c r="H13" s="564"/>
      <c r="I13" s="230">
        <f t="shared" si="4"/>
        <v>0</v>
      </c>
      <c r="J13" s="595">
        <f t="shared" si="2"/>
        <v>0</v>
      </c>
      <c r="M13" s="1306"/>
      <c r="N13" s="1305"/>
      <c r="O13" s="1307"/>
      <c r="P13" s="1305"/>
      <c r="Q13" s="1305"/>
      <c r="R13" s="1305"/>
      <c r="S13" s="1305"/>
    </row>
    <row r="14" spans="1:19" ht="25.5" x14ac:dyDescent="0.35">
      <c r="A14" s="74"/>
      <c r="B14" s="670">
        <f t="shared" si="3"/>
        <v>0</v>
      </c>
      <c r="C14" s="624"/>
      <c r="D14" s="565">
        <v>0</v>
      </c>
      <c r="E14" s="972"/>
      <c r="F14" s="562">
        <f t="shared" si="1"/>
        <v>0</v>
      </c>
      <c r="G14" s="563"/>
      <c r="H14" s="564"/>
      <c r="I14" s="230">
        <f t="shared" si="4"/>
        <v>0</v>
      </c>
      <c r="J14" s="595">
        <f t="shared" si="2"/>
        <v>0</v>
      </c>
      <c r="M14" s="1306"/>
      <c r="N14" s="1305"/>
      <c r="O14" s="1307"/>
      <c r="P14" s="1305"/>
      <c r="Q14" s="1305"/>
      <c r="R14" s="1305"/>
      <c r="S14" s="1305"/>
    </row>
    <row r="15" spans="1:19" ht="25.5" x14ac:dyDescent="0.35">
      <c r="A15" s="74"/>
      <c r="B15" s="670">
        <f t="shared" si="3"/>
        <v>0</v>
      </c>
      <c r="C15" s="624"/>
      <c r="D15" s="565">
        <v>0</v>
      </c>
      <c r="E15" s="972"/>
      <c r="F15" s="562">
        <f t="shared" si="1"/>
        <v>0</v>
      </c>
      <c r="G15" s="563"/>
      <c r="H15" s="564"/>
      <c r="I15" s="230">
        <f t="shared" si="4"/>
        <v>0</v>
      </c>
      <c r="J15" s="595">
        <f t="shared" si="2"/>
        <v>0</v>
      </c>
      <c r="M15" s="1306"/>
      <c r="N15" s="1305"/>
      <c r="O15" s="1307"/>
      <c r="P15" s="1305"/>
      <c r="Q15" s="1305"/>
      <c r="R15" s="1305"/>
      <c r="S15" s="1305"/>
    </row>
    <row r="16" spans="1:19" ht="25.5" x14ac:dyDescent="0.35">
      <c r="A16" s="74"/>
      <c r="B16" s="670">
        <f t="shared" si="3"/>
        <v>0</v>
      </c>
      <c r="C16" s="624"/>
      <c r="D16" s="565">
        <v>0</v>
      </c>
      <c r="E16" s="972"/>
      <c r="F16" s="562">
        <f t="shared" si="1"/>
        <v>0</v>
      </c>
      <c r="G16" s="563"/>
      <c r="H16" s="564"/>
      <c r="I16" s="230">
        <f t="shared" si="4"/>
        <v>0</v>
      </c>
      <c r="J16" s="595">
        <f t="shared" si="2"/>
        <v>0</v>
      </c>
      <c r="M16" s="1306"/>
      <c r="N16" s="1305"/>
      <c r="O16" s="1307"/>
      <c r="P16" s="1305"/>
      <c r="Q16" s="1305"/>
      <c r="R16" s="1305"/>
      <c r="S16" s="1305"/>
    </row>
    <row r="17" spans="1:19" ht="25.5" x14ac:dyDescent="0.35">
      <c r="A17" s="74"/>
      <c r="B17" s="670">
        <f t="shared" si="3"/>
        <v>0</v>
      </c>
      <c r="C17" s="624"/>
      <c r="D17" s="565">
        <v>0</v>
      </c>
      <c r="E17" s="972"/>
      <c r="F17" s="562">
        <f t="shared" si="1"/>
        <v>0</v>
      </c>
      <c r="G17" s="563"/>
      <c r="H17" s="564"/>
      <c r="I17" s="230">
        <f t="shared" si="4"/>
        <v>0</v>
      </c>
      <c r="J17" s="595">
        <f t="shared" si="2"/>
        <v>0</v>
      </c>
      <c r="M17" s="1306"/>
      <c r="N17" s="1305"/>
      <c r="O17" s="1305"/>
      <c r="P17" s="1305"/>
      <c r="Q17" s="1305"/>
      <c r="R17" s="1305"/>
      <c r="S17" s="1305"/>
    </row>
    <row r="18" spans="1:19" ht="25.5" x14ac:dyDescent="0.35">
      <c r="A18" s="74"/>
      <c r="B18" s="670">
        <f t="shared" si="3"/>
        <v>0</v>
      </c>
      <c r="C18" s="624"/>
      <c r="D18" s="565">
        <v>0</v>
      </c>
      <c r="E18" s="972"/>
      <c r="F18" s="562">
        <f t="shared" si="1"/>
        <v>0</v>
      </c>
      <c r="G18" s="563"/>
      <c r="H18" s="564"/>
      <c r="I18" s="230">
        <f>I17-F18</f>
        <v>0</v>
      </c>
      <c r="J18" s="595">
        <f t="shared" si="2"/>
        <v>0</v>
      </c>
      <c r="M18" s="1306"/>
      <c r="N18" s="1305"/>
      <c r="O18" s="1305"/>
      <c r="P18" s="1305"/>
      <c r="Q18" s="1305"/>
      <c r="R18" s="1305"/>
      <c r="S18" s="1305"/>
    </row>
    <row r="19" spans="1:19" x14ac:dyDescent="0.25">
      <c r="A19" s="74"/>
      <c r="B19" s="670">
        <f t="shared" si="3"/>
        <v>0</v>
      </c>
      <c r="C19" s="624"/>
      <c r="D19" s="565">
        <v>0</v>
      </c>
      <c r="E19" s="972"/>
      <c r="F19" s="562">
        <f t="shared" si="1"/>
        <v>0</v>
      </c>
      <c r="G19" s="563"/>
      <c r="H19" s="564"/>
      <c r="I19" s="230">
        <f t="shared" ref="I19:I38" si="5">I18-F19</f>
        <v>0</v>
      </c>
      <c r="J19" s="595">
        <f t="shared" si="2"/>
        <v>0</v>
      </c>
    </row>
    <row r="20" spans="1:19" x14ac:dyDescent="0.25">
      <c r="A20" s="74"/>
      <c r="B20" s="670">
        <f t="shared" si="3"/>
        <v>0</v>
      </c>
      <c r="C20" s="624"/>
      <c r="D20" s="565">
        <v>0</v>
      </c>
      <c r="E20" s="972"/>
      <c r="F20" s="562">
        <f t="shared" si="1"/>
        <v>0</v>
      </c>
      <c r="G20" s="563"/>
      <c r="H20" s="564"/>
      <c r="I20" s="230">
        <f t="shared" si="5"/>
        <v>0</v>
      </c>
      <c r="J20" s="595">
        <f t="shared" si="2"/>
        <v>0</v>
      </c>
    </row>
    <row r="21" spans="1:19" x14ac:dyDescent="0.25">
      <c r="A21" s="74"/>
      <c r="B21" s="670">
        <f t="shared" si="3"/>
        <v>0</v>
      </c>
      <c r="C21" s="624"/>
      <c r="D21" s="565">
        <v>0</v>
      </c>
      <c r="E21" s="972"/>
      <c r="F21" s="562">
        <f t="shared" si="1"/>
        <v>0</v>
      </c>
      <c r="G21" s="563"/>
      <c r="H21" s="564"/>
      <c r="I21" s="230">
        <f t="shared" si="5"/>
        <v>0</v>
      </c>
      <c r="J21" s="595">
        <f t="shared" si="2"/>
        <v>0</v>
      </c>
    </row>
    <row r="22" spans="1:19" x14ac:dyDescent="0.25">
      <c r="A22" s="74"/>
      <c r="B22" s="670">
        <f t="shared" si="3"/>
        <v>0</v>
      </c>
      <c r="C22" s="624"/>
      <c r="D22" s="565">
        <v>0</v>
      </c>
      <c r="E22" s="972"/>
      <c r="F22" s="562">
        <f t="shared" si="1"/>
        <v>0</v>
      </c>
      <c r="G22" s="563"/>
      <c r="H22" s="564"/>
      <c r="I22" s="230">
        <f t="shared" si="5"/>
        <v>0</v>
      </c>
      <c r="J22" s="595">
        <f t="shared" si="2"/>
        <v>0</v>
      </c>
    </row>
    <row r="23" spans="1:19" x14ac:dyDescent="0.25">
      <c r="A23" s="19"/>
      <c r="B23" s="670">
        <f t="shared" si="3"/>
        <v>0</v>
      </c>
      <c r="C23" s="576"/>
      <c r="D23" s="565">
        <v>0</v>
      </c>
      <c r="E23" s="578"/>
      <c r="F23" s="562">
        <f t="shared" si="1"/>
        <v>0</v>
      </c>
      <c r="G23" s="563"/>
      <c r="H23" s="564"/>
      <c r="I23" s="230">
        <f t="shared" si="5"/>
        <v>0</v>
      </c>
      <c r="J23" s="595">
        <f t="shared" si="2"/>
        <v>0</v>
      </c>
    </row>
    <row r="24" spans="1:19" x14ac:dyDescent="0.25">
      <c r="A24" s="19"/>
      <c r="B24" s="670">
        <f t="shared" si="3"/>
        <v>0</v>
      </c>
      <c r="C24" s="576"/>
      <c r="D24" s="565">
        <v>0</v>
      </c>
      <c r="E24" s="578"/>
      <c r="F24" s="562">
        <f t="shared" si="1"/>
        <v>0</v>
      </c>
      <c r="G24" s="563"/>
      <c r="H24" s="564"/>
      <c r="I24" s="230">
        <f t="shared" si="5"/>
        <v>0</v>
      </c>
      <c r="J24" s="595">
        <f t="shared" si="2"/>
        <v>0</v>
      </c>
    </row>
    <row r="25" spans="1:19" x14ac:dyDescent="0.25">
      <c r="A25" s="19"/>
      <c r="B25" s="670">
        <f t="shared" si="3"/>
        <v>0</v>
      </c>
      <c r="C25" s="576"/>
      <c r="D25" s="565">
        <v>0</v>
      </c>
      <c r="E25" s="578"/>
      <c r="F25" s="562">
        <f t="shared" si="1"/>
        <v>0</v>
      </c>
      <c r="G25" s="563"/>
      <c r="H25" s="564"/>
      <c r="I25" s="230">
        <f t="shared" si="5"/>
        <v>0</v>
      </c>
      <c r="J25" s="595">
        <f t="shared" si="2"/>
        <v>0</v>
      </c>
    </row>
    <row r="26" spans="1:19" x14ac:dyDescent="0.25">
      <c r="A26" s="19"/>
      <c r="B26" s="670">
        <f t="shared" si="3"/>
        <v>0</v>
      </c>
      <c r="C26" s="624"/>
      <c r="D26" s="565">
        <v>0</v>
      </c>
      <c r="E26" s="578"/>
      <c r="F26" s="562">
        <f t="shared" si="1"/>
        <v>0</v>
      </c>
      <c r="G26" s="563"/>
      <c r="H26" s="564"/>
      <c r="I26" s="230">
        <f t="shared" si="5"/>
        <v>0</v>
      </c>
      <c r="J26" s="595">
        <f t="shared" si="2"/>
        <v>0</v>
      </c>
    </row>
    <row r="27" spans="1:19" x14ac:dyDescent="0.25">
      <c r="A27" s="19"/>
      <c r="B27" s="670">
        <f t="shared" si="3"/>
        <v>0</v>
      </c>
      <c r="C27" s="624"/>
      <c r="D27" s="565">
        <v>0</v>
      </c>
      <c r="E27" s="578"/>
      <c r="F27" s="562">
        <f t="shared" si="1"/>
        <v>0</v>
      </c>
      <c r="G27" s="563"/>
      <c r="H27" s="564"/>
      <c r="I27" s="230">
        <f t="shared" si="5"/>
        <v>0</v>
      </c>
      <c r="J27" s="595">
        <f t="shared" si="2"/>
        <v>0</v>
      </c>
    </row>
    <row r="28" spans="1:19" x14ac:dyDescent="0.25">
      <c r="A28" s="19"/>
      <c r="B28" s="670">
        <f t="shared" si="3"/>
        <v>0</v>
      </c>
      <c r="C28" s="624"/>
      <c r="D28" s="565">
        <v>0</v>
      </c>
      <c r="E28" s="578"/>
      <c r="F28" s="562">
        <f t="shared" si="1"/>
        <v>0</v>
      </c>
      <c r="G28" s="563"/>
      <c r="H28" s="564"/>
      <c r="I28" s="230">
        <f t="shared" si="5"/>
        <v>0</v>
      </c>
      <c r="J28" s="595">
        <f t="shared" si="2"/>
        <v>0</v>
      </c>
    </row>
    <row r="29" spans="1:19" x14ac:dyDescent="0.25">
      <c r="A29" s="19"/>
      <c r="B29" s="670">
        <f t="shared" si="3"/>
        <v>0</v>
      </c>
      <c r="C29" s="624"/>
      <c r="D29" s="565">
        <v>0</v>
      </c>
      <c r="E29" s="578"/>
      <c r="F29" s="562">
        <f t="shared" si="1"/>
        <v>0</v>
      </c>
      <c r="G29" s="563"/>
      <c r="H29" s="564"/>
      <c r="I29" s="230">
        <f t="shared" si="5"/>
        <v>0</v>
      </c>
      <c r="J29" s="595">
        <f t="shared" si="2"/>
        <v>0</v>
      </c>
    </row>
    <row r="30" spans="1:19" x14ac:dyDescent="0.25">
      <c r="A30" s="19"/>
      <c r="B30" s="670">
        <f t="shared" si="3"/>
        <v>0</v>
      </c>
      <c r="C30" s="624"/>
      <c r="D30" s="565">
        <v>0</v>
      </c>
      <c r="E30" s="578"/>
      <c r="F30" s="562">
        <f t="shared" si="1"/>
        <v>0</v>
      </c>
      <c r="G30" s="563"/>
      <c r="H30" s="564"/>
      <c r="I30" s="230">
        <f t="shared" si="5"/>
        <v>0</v>
      </c>
      <c r="J30" s="595">
        <f t="shared" si="2"/>
        <v>0</v>
      </c>
    </row>
    <row r="31" spans="1:19" x14ac:dyDescent="0.25">
      <c r="A31" s="19"/>
      <c r="B31" s="670">
        <f t="shared" si="3"/>
        <v>0</v>
      </c>
      <c r="C31" s="624"/>
      <c r="D31" s="565">
        <v>0</v>
      </c>
      <c r="E31" s="578"/>
      <c r="F31" s="562">
        <f t="shared" si="1"/>
        <v>0</v>
      </c>
      <c r="G31" s="563"/>
      <c r="H31" s="564"/>
      <c r="I31" s="230">
        <f t="shared" si="5"/>
        <v>0</v>
      </c>
      <c r="J31" s="595">
        <f t="shared" si="2"/>
        <v>0</v>
      </c>
    </row>
    <row r="32" spans="1:19" x14ac:dyDescent="0.25">
      <c r="A32" s="19"/>
      <c r="B32" s="670">
        <f t="shared" si="3"/>
        <v>0</v>
      </c>
      <c r="C32" s="624"/>
      <c r="D32" s="565">
        <v>0</v>
      </c>
      <c r="E32" s="578"/>
      <c r="F32" s="562">
        <f t="shared" si="1"/>
        <v>0</v>
      </c>
      <c r="G32" s="563"/>
      <c r="H32" s="564"/>
      <c r="I32" s="230">
        <f t="shared" si="5"/>
        <v>0</v>
      </c>
      <c r="J32" s="595">
        <f t="shared" si="2"/>
        <v>0</v>
      </c>
    </row>
    <row r="33" spans="1:10" x14ac:dyDescent="0.25">
      <c r="A33" s="19"/>
      <c r="B33" s="670">
        <f t="shared" si="3"/>
        <v>0</v>
      </c>
      <c r="C33" s="624"/>
      <c r="D33" s="565">
        <v>0</v>
      </c>
      <c r="E33" s="578"/>
      <c r="F33" s="562">
        <f t="shared" si="1"/>
        <v>0</v>
      </c>
      <c r="G33" s="563"/>
      <c r="H33" s="564"/>
      <c r="I33" s="230">
        <f t="shared" si="5"/>
        <v>0</v>
      </c>
      <c r="J33" s="595">
        <f t="shared" si="2"/>
        <v>0</v>
      </c>
    </row>
    <row r="34" spans="1:10" x14ac:dyDescent="0.25">
      <c r="A34" s="19"/>
      <c r="B34" s="670">
        <f t="shared" si="3"/>
        <v>0</v>
      </c>
      <c r="C34" s="624"/>
      <c r="D34" s="565">
        <v>0</v>
      </c>
      <c r="E34" s="578"/>
      <c r="F34" s="562">
        <f t="shared" si="1"/>
        <v>0</v>
      </c>
      <c r="G34" s="563"/>
      <c r="H34" s="564"/>
      <c r="I34" s="230">
        <f t="shared" si="5"/>
        <v>0</v>
      </c>
      <c r="J34" s="595">
        <f t="shared" si="2"/>
        <v>0</v>
      </c>
    </row>
    <row r="35" spans="1:10" x14ac:dyDescent="0.25">
      <c r="A35" s="19"/>
      <c r="B35" s="670">
        <f t="shared" si="3"/>
        <v>0</v>
      </c>
      <c r="C35" s="624"/>
      <c r="D35" s="565">
        <v>0</v>
      </c>
      <c r="E35" s="578"/>
      <c r="F35" s="562">
        <f t="shared" si="1"/>
        <v>0</v>
      </c>
      <c r="G35" s="563"/>
      <c r="H35" s="564"/>
      <c r="I35" s="230">
        <f t="shared" si="5"/>
        <v>0</v>
      </c>
      <c r="J35" s="595">
        <f t="shared" si="2"/>
        <v>0</v>
      </c>
    </row>
    <row r="36" spans="1:10" x14ac:dyDescent="0.25">
      <c r="A36" s="19"/>
      <c r="B36" s="670">
        <f t="shared" si="3"/>
        <v>0</v>
      </c>
      <c r="C36" s="624"/>
      <c r="D36" s="565">
        <v>0</v>
      </c>
      <c r="E36" s="578"/>
      <c r="F36" s="562">
        <f t="shared" si="1"/>
        <v>0</v>
      </c>
      <c r="G36" s="563"/>
      <c r="H36" s="564"/>
      <c r="I36" s="230">
        <f t="shared" si="5"/>
        <v>0</v>
      </c>
      <c r="J36" s="595">
        <f t="shared" si="2"/>
        <v>0</v>
      </c>
    </row>
    <row r="37" spans="1:10" x14ac:dyDescent="0.25">
      <c r="B37" s="670">
        <f>B27-C37</f>
        <v>0</v>
      </c>
      <c r="C37" s="624"/>
      <c r="D37" s="565">
        <v>0</v>
      </c>
      <c r="E37" s="578"/>
      <c r="F37" s="562">
        <f t="shared" si="1"/>
        <v>0</v>
      </c>
      <c r="G37" s="563"/>
      <c r="H37" s="564"/>
      <c r="I37" s="230">
        <f t="shared" si="5"/>
        <v>0</v>
      </c>
      <c r="J37" s="595">
        <f t="shared" si="2"/>
        <v>0</v>
      </c>
    </row>
    <row r="38" spans="1:10" ht="15.75" thickBot="1" x14ac:dyDescent="0.3">
      <c r="A38" s="117"/>
      <c r="B38" s="670">
        <f t="shared" ref="B38" si="6">B37-C38</f>
        <v>0</v>
      </c>
      <c r="C38" s="651"/>
      <c r="D38" s="565">
        <v>0</v>
      </c>
      <c r="E38" s="765"/>
      <c r="F38" s="562">
        <f t="shared" si="1"/>
        <v>0</v>
      </c>
      <c r="G38" s="727"/>
      <c r="H38" s="766"/>
      <c r="I38" s="230">
        <f t="shared" si="5"/>
        <v>0</v>
      </c>
      <c r="J38" s="595">
        <f>SUM(J9:J37)</f>
        <v>0</v>
      </c>
    </row>
    <row r="39" spans="1:10" ht="15.75" thickTop="1" x14ac:dyDescent="0.25">
      <c r="A39" s="47">
        <f>SUM(A38:A38)</f>
        <v>0</v>
      </c>
      <c r="C39" s="1155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655" t="s">
        <v>21</v>
      </c>
      <c r="E41" s="1656"/>
      <c r="F41" s="137">
        <f>G5-F39</f>
        <v>0</v>
      </c>
    </row>
    <row r="42" spans="1:10" ht="15.75" thickBot="1" x14ac:dyDescent="0.3">
      <c r="A42" s="121"/>
      <c r="D42" s="1153" t="s">
        <v>4</v>
      </c>
      <c r="E42" s="1154"/>
      <c r="F42" s="49">
        <v>0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F17" sqref="F17:I2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668" t="s">
        <v>346</v>
      </c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/>
    <row r="3" spans="1:9" ht="16.5" thickTop="1" thickBot="1" x14ac:dyDescent="0.3">
      <c r="A3" s="347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769" t="s">
        <v>52</v>
      </c>
      <c r="B4" s="443"/>
      <c r="C4" s="124"/>
      <c r="D4" s="131"/>
      <c r="E4" s="85"/>
      <c r="F4" s="72"/>
      <c r="G4" s="982"/>
    </row>
    <row r="5" spans="1:9" ht="15" customHeight="1" x14ac:dyDescent="0.25">
      <c r="A5" s="1770"/>
      <c r="B5" s="1772" t="s">
        <v>66</v>
      </c>
      <c r="C5" s="124">
        <v>35</v>
      </c>
      <c r="D5" s="580">
        <v>45129</v>
      </c>
      <c r="E5" s="579">
        <v>950.03</v>
      </c>
      <c r="F5" s="576">
        <v>34</v>
      </c>
      <c r="G5" s="48">
        <f>F62</f>
        <v>950.03000000000009</v>
      </c>
      <c r="H5" s="134">
        <f>E5-G5+E4+E6+E7+E8</f>
        <v>-1.1368683772161603E-13</v>
      </c>
    </row>
    <row r="6" spans="1:9" ht="16.5" thickBot="1" x14ac:dyDescent="0.3">
      <c r="A6" s="1771"/>
      <c r="B6" s="1773"/>
      <c r="C6" s="488"/>
      <c r="D6" s="580"/>
      <c r="E6" s="579"/>
      <c r="F6" s="576"/>
      <c r="G6" s="72"/>
    </row>
    <row r="7" spans="1:9" ht="21.75" customHeight="1" x14ac:dyDescent="0.25">
      <c r="A7" s="576"/>
      <c r="C7" s="488"/>
      <c r="D7" s="580"/>
      <c r="E7" s="596"/>
      <c r="F7" s="57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4" t="s">
        <v>3</v>
      </c>
      <c r="E9" s="23" t="s">
        <v>2</v>
      </c>
      <c r="F9" s="26" t="s">
        <v>18</v>
      </c>
      <c r="G9" s="10"/>
      <c r="H9" s="24"/>
      <c r="I9" s="333" t="s">
        <v>53</v>
      </c>
    </row>
    <row r="10" spans="1:9" ht="16.5" thickTop="1" x14ac:dyDescent="0.25">
      <c r="A10" s="623"/>
      <c r="B10" s="809">
        <f>F4+F5+F6+F7+F8-C10</f>
        <v>26</v>
      </c>
      <c r="C10" s="686">
        <v>8</v>
      </c>
      <c r="D10" s="599">
        <v>220.5</v>
      </c>
      <c r="E10" s="687">
        <v>45129</v>
      </c>
      <c r="F10" s="599">
        <f t="shared" ref="F10:F57" si="0">D10</f>
        <v>220.5</v>
      </c>
      <c r="G10" s="688" t="s">
        <v>676</v>
      </c>
      <c r="H10" s="689">
        <v>37</v>
      </c>
      <c r="I10" s="560">
        <f>E6+E5+E4-F10+E7+E8</f>
        <v>729.53</v>
      </c>
    </row>
    <row r="11" spans="1:9" x14ac:dyDescent="0.25">
      <c r="A11" s="74"/>
      <c r="B11" s="690">
        <f>B10-C11</f>
        <v>22</v>
      </c>
      <c r="C11" s="686">
        <v>4</v>
      </c>
      <c r="D11" s="599">
        <v>108.3</v>
      </c>
      <c r="E11" s="687">
        <v>45131</v>
      </c>
      <c r="F11" s="599">
        <f t="shared" si="0"/>
        <v>108.3</v>
      </c>
      <c r="G11" s="688" t="s">
        <v>679</v>
      </c>
      <c r="H11" s="689">
        <v>37</v>
      </c>
      <c r="I11" s="560">
        <f>I10-F11</f>
        <v>621.23</v>
      </c>
    </row>
    <row r="12" spans="1:9" x14ac:dyDescent="0.25">
      <c r="A12" s="74"/>
      <c r="B12" s="690">
        <f t="shared" ref="B12:B58" si="1">B11-C12</f>
        <v>11</v>
      </c>
      <c r="C12" s="686">
        <v>11</v>
      </c>
      <c r="D12" s="599">
        <v>305.08999999999997</v>
      </c>
      <c r="E12" s="687">
        <v>45131</v>
      </c>
      <c r="F12" s="599">
        <f t="shared" si="0"/>
        <v>305.08999999999997</v>
      </c>
      <c r="G12" s="688" t="s">
        <v>680</v>
      </c>
      <c r="H12" s="689">
        <v>37</v>
      </c>
      <c r="I12" s="560">
        <f t="shared" ref="I12:I13" si="2">I11-F12</f>
        <v>316.14000000000004</v>
      </c>
    </row>
    <row r="13" spans="1:9" x14ac:dyDescent="0.25">
      <c r="A13" s="54"/>
      <c r="B13" s="690">
        <f t="shared" si="1"/>
        <v>9</v>
      </c>
      <c r="C13" s="686">
        <v>2</v>
      </c>
      <c r="D13" s="599">
        <v>58.37</v>
      </c>
      <c r="E13" s="687">
        <v>45131</v>
      </c>
      <c r="F13" s="599">
        <f t="shared" si="0"/>
        <v>58.37</v>
      </c>
      <c r="G13" s="688" t="s">
        <v>681</v>
      </c>
      <c r="H13" s="689">
        <v>37</v>
      </c>
      <c r="I13" s="560">
        <f t="shared" si="2"/>
        <v>257.77000000000004</v>
      </c>
    </row>
    <row r="14" spans="1:9" x14ac:dyDescent="0.25">
      <c r="A14" s="74"/>
      <c r="B14" s="690">
        <f t="shared" si="1"/>
        <v>1</v>
      </c>
      <c r="C14" s="686">
        <v>8</v>
      </c>
      <c r="D14" s="599">
        <v>227.93</v>
      </c>
      <c r="E14" s="687">
        <v>45132</v>
      </c>
      <c r="F14" s="599">
        <f t="shared" si="0"/>
        <v>227.93</v>
      </c>
      <c r="G14" s="688" t="s">
        <v>685</v>
      </c>
      <c r="H14" s="689">
        <v>37</v>
      </c>
      <c r="I14" s="560">
        <f>I13-F14</f>
        <v>29.840000000000032</v>
      </c>
    </row>
    <row r="15" spans="1:9" x14ac:dyDescent="0.25">
      <c r="A15" s="74"/>
      <c r="B15" s="690">
        <f t="shared" si="1"/>
        <v>0</v>
      </c>
      <c r="C15" s="686">
        <v>1</v>
      </c>
      <c r="D15" s="599">
        <v>29.84</v>
      </c>
      <c r="E15" s="687">
        <v>45134</v>
      </c>
      <c r="F15" s="599">
        <f t="shared" si="0"/>
        <v>29.84</v>
      </c>
      <c r="G15" s="688" t="s">
        <v>713</v>
      </c>
      <c r="H15" s="689">
        <v>37</v>
      </c>
      <c r="I15" s="560">
        <f t="shared" ref="I15:I58" si="3">I14-F15</f>
        <v>3.1974423109204508E-14</v>
      </c>
    </row>
    <row r="16" spans="1:9" x14ac:dyDescent="0.25">
      <c r="B16" s="690">
        <f t="shared" si="1"/>
        <v>0</v>
      </c>
      <c r="C16" s="686"/>
      <c r="D16" s="599"/>
      <c r="E16" s="687"/>
      <c r="F16" s="599">
        <f t="shared" si="0"/>
        <v>0</v>
      </c>
      <c r="G16" s="688"/>
      <c r="H16" s="689"/>
      <c r="I16" s="560">
        <f t="shared" si="3"/>
        <v>3.1974423109204508E-14</v>
      </c>
    </row>
    <row r="17" spans="2:9" x14ac:dyDescent="0.25">
      <c r="B17" s="690">
        <f t="shared" si="1"/>
        <v>0</v>
      </c>
      <c r="C17" s="686"/>
      <c r="D17" s="599"/>
      <c r="E17" s="687"/>
      <c r="F17" s="1541">
        <f t="shared" si="0"/>
        <v>0</v>
      </c>
      <c r="G17" s="1542"/>
      <c r="H17" s="1543"/>
      <c r="I17" s="1501">
        <f t="shared" si="3"/>
        <v>3.1974423109204508E-14</v>
      </c>
    </row>
    <row r="18" spans="2:9" x14ac:dyDescent="0.25">
      <c r="B18" s="690">
        <f t="shared" si="1"/>
        <v>0</v>
      </c>
      <c r="C18" s="686"/>
      <c r="D18" s="599"/>
      <c r="E18" s="687"/>
      <c r="F18" s="1541">
        <f t="shared" si="0"/>
        <v>0</v>
      </c>
      <c r="G18" s="1542"/>
      <c r="H18" s="1543"/>
      <c r="I18" s="1501">
        <f t="shared" si="3"/>
        <v>3.1974423109204508E-14</v>
      </c>
    </row>
    <row r="19" spans="2:9" x14ac:dyDescent="0.25">
      <c r="B19" s="690">
        <f t="shared" si="1"/>
        <v>0</v>
      </c>
      <c r="C19" s="686"/>
      <c r="D19" s="599"/>
      <c r="E19" s="687"/>
      <c r="F19" s="1541">
        <f t="shared" si="0"/>
        <v>0</v>
      </c>
      <c r="G19" s="1542"/>
      <c r="H19" s="1543"/>
      <c r="I19" s="1501">
        <f t="shared" si="3"/>
        <v>3.1974423109204508E-14</v>
      </c>
    </row>
    <row r="20" spans="2:9" x14ac:dyDescent="0.25">
      <c r="B20" s="690">
        <f t="shared" si="1"/>
        <v>0</v>
      </c>
      <c r="C20" s="686"/>
      <c r="D20" s="599"/>
      <c r="E20" s="687"/>
      <c r="F20" s="1541">
        <f t="shared" si="0"/>
        <v>0</v>
      </c>
      <c r="G20" s="1542"/>
      <c r="H20" s="1543"/>
      <c r="I20" s="1501">
        <f t="shared" si="3"/>
        <v>3.1974423109204508E-14</v>
      </c>
    </row>
    <row r="21" spans="2:9" x14ac:dyDescent="0.25">
      <c r="B21" s="690">
        <f t="shared" si="1"/>
        <v>0</v>
      </c>
      <c r="C21" s="686"/>
      <c r="D21" s="599"/>
      <c r="E21" s="691"/>
      <c r="F21" s="1541">
        <f t="shared" si="0"/>
        <v>0</v>
      </c>
      <c r="G21" s="1542"/>
      <c r="H21" s="1543"/>
      <c r="I21" s="1501">
        <f t="shared" si="3"/>
        <v>3.1974423109204508E-14</v>
      </c>
    </row>
    <row r="22" spans="2:9" x14ac:dyDescent="0.25">
      <c r="B22" s="690">
        <f t="shared" si="1"/>
        <v>0</v>
      </c>
      <c r="C22" s="686"/>
      <c r="D22" s="599"/>
      <c r="E22" s="691"/>
      <c r="F22" s="599">
        <f t="shared" si="0"/>
        <v>0</v>
      </c>
      <c r="G22" s="688"/>
      <c r="H22" s="689"/>
      <c r="I22" s="560">
        <f t="shared" si="3"/>
        <v>3.1974423109204508E-14</v>
      </c>
    </row>
    <row r="23" spans="2:9" x14ac:dyDescent="0.25">
      <c r="B23" s="690">
        <f t="shared" si="1"/>
        <v>0</v>
      </c>
      <c r="C23" s="686"/>
      <c r="D23" s="599"/>
      <c r="E23" s="691"/>
      <c r="F23" s="599">
        <f t="shared" si="0"/>
        <v>0</v>
      </c>
      <c r="G23" s="688"/>
      <c r="H23" s="689"/>
      <c r="I23" s="560">
        <f t="shared" si="3"/>
        <v>3.1974423109204508E-14</v>
      </c>
    </row>
    <row r="24" spans="2:9" x14ac:dyDescent="0.25">
      <c r="B24" s="690">
        <f t="shared" si="1"/>
        <v>0</v>
      </c>
      <c r="C24" s="686"/>
      <c r="D24" s="599"/>
      <c r="E24" s="691"/>
      <c r="F24" s="599">
        <f t="shared" si="0"/>
        <v>0</v>
      </c>
      <c r="G24" s="688"/>
      <c r="H24" s="689"/>
      <c r="I24" s="560">
        <f t="shared" si="3"/>
        <v>3.1974423109204508E-14</v>
      </c>
    </row>
    <row r="25" spans="2:9" x14ac:dyDescent="0.25">
      <c r="B25" s="690">
        <f t="shared" si="1"/>
        <v>0</v>
      </c>
      <c r="C25" s="686"/>
      <c r="D25" s="599"/>
      <c r="E25" s="691"/>
      <c r="F25" s="599">
        <f t="shared" si="0"/>
        <v>0</v>
      </c>
      <c r="G25" s="688"/>
      <c r="H25" s="689"/>
      <c r="I25" s="560">
        <f t="shared" si="3"/>
        <v>3.1974423109204508E-14</v>
      </c>
    </row>
    <row r="26" spans="2:9" x14ac:dyDescent="0.25">
      <c r="B26" s="690">
        <f t="shared" si="1"/>
        <v>0</v>
      </c>
      <c r="C26" s="686"/>
      <c r="D26" s="599"/>
      <c r="E26" s="691"/>
      <c r="F26" s="599">
        <f t="shared" si="0"/>
        <v>0</v>
      </c>
      <c r="G26" s="688"/>
      <c r="H26" s="689"/>
      <c r="I26" s="560">
        <f t="shared" si="3"/>
        <v>3.1974423109204508E-14</v>
      </c>
    </row>
    <row r="27" spans="2:9" x14ac:dyDescent="0.25">
      <c r="B27" s="690">
        <f t="shared" si="1"/>
        <v>0</v>
      </c>
      <c r="C27" s="686"/>
      <c r="D27" s="599"/>
      <c r="E27" s="691"/>
      <c r="F27" s="599">
        <f t="shared" si="0"/>
        <v>0</v>
      </c>
      <c r="G27" s="688"/>
      <c r="H27" s="689"/>
      <c r="I27" s="560">
        <f t="shared" si="3"/>
        <v>3.1974423109204508E-14</v>
      </c>
    </row>
    <row r="28" spans="2:9" x14ac:dyDescent="0.25">
      <c r="B28" s="690">
        <f t="shared" si="1"/>
        <v>0</v>
      </c>
      <c r="C28" s="686"/>
      <c r="D28" s="599"/>
      <c r="E28" s="691"/>
      <c r="F28" s="599">
        <f t="shared" si="0"/>
        <v>0</v>
      </c>
      <c r="G28" s="688"/>
      <c r="H28" s="689"/>
      <c r="I28" s="560">
        <f t="shared" si="3"/>
        <v>3.1974423109204508E-14</v>
      </c>
    </row>
    <row r="29" spans="2:9" x14ac:dyDescent="0.25">
      <c r="B29" s="690">
        <f t="shared" si="1"/>
        <v>0</v>
      </c>
      <c r="C29" s="686"/>
      <c r="D29" s="599"/>
      <c r="E29" s="691"/>
      <c r="F29" s="599">
        <f t="shared" si="0"/>
        <v>0</v>
      </c>
      <c r="G29" s="688"/>
      <c r="H29" s="689"/>
      <c r="I29" s="560">
        <f t="shared" si="3"/>
        <v>3.1974423109204508E-14</v>
      </c>
    </row>
    <row r="30" spans="2:9" x14ac:dyDescent="0.25">
      <c r="B30" s="690">
        <f t="shared" si="1"/>
        <v>0</v>
      </c>
      <c r="C30" s="686"/>
      <c r="D30" s="599"/>
      <c r="E30" s="691"/>
      <c r="F30" s="599">
        <f t="shared" si="0"/>
        <v>0</v>
      </c>
      <c r="G30" s="688"/>
      <c r="H30" s="689"/>
      <c r="I30" s="560">
        <f t="shared" si="3"/>
        <v>3.1974423109204508E-14</v>
      </c>
    </row>
    <row r="31" spans="2:9" x14ac:dyDescent="0.25">
      <c r="B31" s="690">
        <f t="shared" si="1"/>
        <v>0</v>
      </c>
      <c r="C31" s="686"/>
      <c r="D31" s="599"/>
      <c r="E31" s="687"/>
      <c r="F31" s="599">
        <f t="shared" si="0"/>
        <v>0</v>
      </c>
      <c r="G31" s="688"/>
      <c r="H31" s="689"/>
      <c r="I31" s="560">
        <f t="shared" si="3"/>
        <v>3.1974423109204508E-14</v>
      </c>
    </row>
    <row r="32" spans="2:9" x14ac:dyDescent="0.25">
      <c r="B32" s="332">
        <f t="shared" si="1"/>
        <v>0</v>
      </c>
      <c r="C32" s="321"/>
      <c r="D32" s="322"/>
      <c r="E32" s="555"/>
      <c r="F32" s="322">
        <f t="shared" si="0"/>
        <v>0</v>
      </c>
      <c r="G32" s="553"/>
      <c r="H32" s="554"/>
      <c r="I32" s="128">
        <f t="shared" si="3"/>
        <v>3.1974423109204508E-14</v>
      </c>
    </row>
    <row r="33" spans="1:9" x14ac:dyDescent="0.25">
      <c r="B33" s="332">
        <f t="shared" si="1"/>
        <v>0</v>
      </c>
      <c r="C33" s="321"/>
      <c r="D33" s="322"/>
      <c r="E33" s="555"/>
      <c r="F33" s="322">
        <f t="shared" si="0"/>
        <v>0</v>
      </c>
      <c r="G33" s="553"/>
      <c r="H33" s="554"/>
      <c r="I33" s="128">
        <f t="shared" si="3"/>
        <v>3.1974423109204508E-14</v>
      </c>
    </row>
    <row r="34" spans="1:9" x14ac:dyDescent="0.25">
      <c r="B34" s="332">
        <f t="shared" si="1"/>
        <v>0</v>
      </c>
      <c r="C34" s="321"/>
      <c r="D34" s="322"/>
      <c r="E34" s="555"/>
      <c r="F34" s="322">
        <f t="shared" si="0"/>
        <v>0</v>
      </c>
      <c r="G34" s="553"/>
      <c r="H34" s="554"/>
      <c r="I34" s="128">
        <f t="shared" si="3"/>
        <v>3.1974423109204508E-14</v>
      </c>
    </row>
    <row r="35" spans="1:9" x14ac:dyDescent="0.25">
      <c r="B35" s="332">
        <f t="shared" si="1"/>
        <v>0</v>
      </c>
      <c r="C35" s="321"/>
      <c r="D35" s="322"/>
      <c r="E35" s="555"/>
      <c r="F35" s="322">
        <f t="shared" si="0"/>
        <v>0</v>
      </c>
      <c r="G35" s="553"/>
      <c r="H35" s="554"/>
      <c r="I35" s="128">
        <f t="shared" si="3"/>
        <v>3.1974423109204508E-14</v>
      </c>
    </row>
    <row r="36" spans="1:9" x14ac:dyDescent="0.25">
      <c r="B36" s="332">
        <f t="shared" si="1"/>
        <v>0</v>
      </c>
      <c r="C36" s="321"/>
      <c r="D36" s="322"/>
      <c r="E36" s="555"/>
      <c r="F36" s="322">
        <f t="shared" si="0"/>
        <v>0</v>
      </c>
      <c r="G36" s="553"/>
      <c r="H36" s="554"/>
      <c r="I36" s="128">
        <f t="shared" si="3"/>
        <v>3.1974423109204508E-14</v>
      </c>
    </row>
    <row r="37" spans="1:9" x14ac:dyDescent="0.25">
      <c r="B37" s="332">
        <f t="shared" si="1"/>
        <v>0</v>
      </c>
      <c r="C37" s="321"/>
      <c r="D37" s="322"/>
      <c r="E37" s="555"/>
      <c r="F37" s="322">
        <f t="shared" si="0"/>
        <v>0</v>
      </c>
      <c r="G37" s="553"/>
      <c r="H37" s="554"/>
      <c r="I37" s="128">
        <f t="shared" si="3"/>
        <v>3.1974423109204508E-14</v>
      </c>
    </row>
    <row r="38" spans="1:9" x14ac:dyDescent="0.25">
      <c r="B38" s="332">
        <f t="shared" si="1"/>
        <v>0</v>
      </c>
      <c r="C38" s="321"/>
      <c r="D38" s="322"/>
      <c r="E38" s="555"/>
      <c r="F38" s="322">
        <f t="shared" si="0"/>
        <v>0</v>
      </c>
      <c r="G38" s="553"/>
      <c r="H38" s="554"/>
      <c r="I38" s="128">
        <f t="shared" si="3"/>
        <v>3.1974423109204508E-14</v>
      </c>
    </row>
    <row r="39" spans="1:9" x14ac:dyDescent="0.25">
      <c r="B39" s="332">
        <f t="shared" si="1"/>
        <v>0</v>
      </c>
      <c r="C39" s="321"/>
      <c r="D39" s="322"/>
      <c r="E39" s="555"/>
      <c r="F39" s="322">
        <f t="shared" si="0"/>
        <v>0</v>
      </c>
      <c r="G39" s="553"/>
      <c r="H39" s="554"/>
      <c r="I39" s="128">
        <f t="shared" si="3"/>
        <v>3.1974423109204508E-14</v>
      </c>
    </row>
    <row r="40" spans="1:9" x14ac:dyDescent="0.25">
      <c r="A40" s="74"/>
      <c r="B40" s="332">
        <f t="shared" si="1"/>
        <v>0</v>
      </c>
      <c r="C40" s="321"/>
      <c r="D40" s="322"/>
      <c r="E40" s="555"/>
      <c r="F40" s="322">
        <f t="shared" si="0"/>
        <v>0</v>
      </c>
      <c r="G40" s="553"/>
      <c r="H40" s="554"/>
      <c r="I40" s="128">
        <f t="shared" si="3"/>
        <v>3.1974423109204508E-14</v>
      </c>
    </row>
    <row r="41" spans="1:9" x14ac:dyDescent="0.25">
      <c r="B41" s="332">
        <f t="shared" si="1"/>
        <v>0</v>
      </c>
      <c r="C41" s="321"/>
      <c r="D41" s="322"/>
      <c r="E41" s="555"/>
      <c r="F41" s="322">
        <f t="shared" si="0"/>
        <v>0</v>
      </c>
      <c r="G41" s="553"/>
      <c r="H41" s="554"/>
      <c r="I41" s="128">
        <f t="shared" si="3"/>
        <v>3.1974423109204508E-14</v>
      </c>
    </row>
    <row r="42" spans="1:9" x14ac:dyDescent="0.25">
      <c r="B42" s="332">
        <f t="shared" si="1"/>
        <v>0</v>
      </c>
      <c r="C42" s="321"/>
      <c r="D42" s="322"/>
      <c r="E42" s="555"/>
      <c r="F42" s="322">
        <f t="shared" si="0"/>
        <v>0</v>
      </c>
      <c r="G42" s="553"/>
      <c r="H42" s="554"/>
      <c r="I42" s="128">
        <f t="shared" si="3"/>
        <v>3.1974423109204508E-14</v>
      </c>
    </row>
    <row r="43" spans="1:9" x14ac:dyDescent="0.25">
      <c r="B43" s="332">
        <f t="shared" si="1"/>
        <v>0</v>
      </c>
      <c r="C43" s="321"/>
      <c r="D43" s="322"/>
      <c r="E43" s="555"/>
      <c r="F43" s="322">
        <f t="shared" si="0"/>
        <v>0</v>
      </c>
      <c r="G43" s="553"/>
      <c r="H43" s="554"/>
      <c r="I43" s="128">
        <f t="shared" si="3"/>
        <v>3.1974423109204508E-14</v>
      </c>
    </row>
    <row r="44" spans="1:9" x14ac:dyDescent="0.25">
      <c r="B44" s="332">
        <f t="shared" si="1"/>
        <v>0</v>
      </c>
      <c r="C44" s="321"/>
      <c r="D44" s="322"/>
      <c r="E44" s="555"/>
      <c r="F44" s="322">
        <f t="shared" si="0"/>
        <v>0</v>
      </c>
      <c r="G44" s="553"/>
      <c r="H44" s="554"/>
      <c r="I44" s="128">
        <f t="shared" si="3"/>
        <v>3.1974423109204508E-14</v>
      </c>
    </row>
    <row r="45" spans="1:9" x14ac:dyDescent="0.25">
      <c r="B45" s="332">
        <f t="shared" si="1"/>
        <v>0</v>
      </c>
      <c r="C45" s="321"/>
      <c r="D45" s="322"/>
      <c r="E45" s="555"/>
      <c r="F45" s="322">
        <f t="shared" si="0"/>
        <v>0</v>
      </c>
      <c r="G45" s="553"/>
      <c r="H45" s="554"/>
      <c r="I45" s="128">
        <f t="shared" si="3"/>
        <v>3.1974423109204508E-14</v>
      </c>
    </row>
    <row r="46" spans="1:9" x14ac:dyDescent="0.25">
      <c r="B46" s="332">
        <f t="shared" si="1"/>
        <v>0</v>
      </c>
      <c r="C46" s="321"/>
      <c r="D46" s="322"/>
      <c r="E46" s="555"/>
      <c r="F46" s="322">
        <f t="shared" si="0"/>
        <v>0</v>
      </c>
      <c r="G46" s="553"/>
      <c r="H46" s="554"/>
      <c r="I46" s="128">
        <f t="shared" si="3"/>
        <v>3.1974423109204508E-14</v>
      </c>
    </row>
    <row r="47" spans="1:9" x14ac:dyDescent="0.25">
      <c r="B47" s="332">
        <f t="shared" si="1"/>
        <v>0</v>
      </c>
      <c r="C47" s="321"/>
      <c r="D47" s="322"/>
      <c r="E47" s="555"/>
      <c r="F47" s="322">
        <f t="shared" si="0"/>
        <v>0</v>
      </c>
      <c r="G47" s="553"/>
      <c r="H47" s="554"/>
      <c r="I47" s="128">
        <f t="shared" si="3"/>
        <v>3.1974423109204508E-14</v>
      </c>
    </row>
    <row r="48" spans="1:9" x14ac:dyDescent="0.25">
      <c r="B48" s="332">
        <f t="shared" si="1"/>
        <v>0</v>
      </c>
      <c r="C48" s="321"/>
      <c r="D48" s="322"/>
      <c r="E48" s="555"/>
      <c r="F48" s="322">
        <f t="shared" si="0"/>
        <v>0</v>
      </c>
      <c r="G48" s="553"/>
      <c r="H48" s="554"/>
      <c r="I48" s="128">
        <f t="shared" si="3"/>
        <v>3.1974423109204508E-14</v>
      </c>
    </row>
    <row r="49" spans="1:9" x14ac:dyDescent="0.25">
      <c r="B49" s="332">
        <f t="shared" si="1"/>
        <v>0</v>
      </c>
      <c r="C49" s="321"/>
      <c r="D49" s="322"/>
      <c r="E49" s="555"/>
      <c r="F49" s="322">
        <f t="shared" si="0"/>
        <v>0</v>
      </c>
      <c r="G49" s="553"/>
      <c r="H49" s="554"/>
      <c r="I49" s="128">
        <f t="shared" si="3"/>
        <v>3.1974423109204508E-14</v>
      </c>
    </row>
    <row r="50" spans="1:9" x14ac:dyDescent="0.25">
      <c r="B50" s="332">
        <f t="shared" si="1"/>
        <v>0</v>
      </c>
      <c r="C50" s="321"/>
      <c r="D50" s="322"/>
      <c r="E50" s="555"/>
      <c r="F50" s="322">
        <f t="shared" si="0"/>
        <v>0</v>
      </c>
      <c r="G50" s="553"/>
      <c r="H50" s="554"/>
      <c r="I50" s="128">
        <f t="shared" si="3"/>
        <v>3.1974423109204508E-14</v>
      </c>
    </row>
    <row r="51" spans="1:9" x14ac:dyDescent="0.25">
      <c r="B51" s="332">
        <f t="shared" si="1"/>
        <v>0</v>
      </c>
      <c r="C51" s="321"/>
      <c r="D51" s="322"/>
      <c r="E51" s="555"/>
      <c r="F51" s="322">
        <f t="shared" si="0"/>
        <v>0</v>
      </c>
      <c r="G51" s="553"/>
      <c r="H51" s="554"/>
      <c r="I51" s="128">
        <f t="shared" si="3"/>
        <v>3.1974423109204508E-14</v>
      </c>
    </row>
    <row r="52" spans="1:9" x14ac:dyDescent="0.25">
      <c r="B52" s="332">
        <f t="shared" si="1"/>
        <v>0</v>
      </c>
      <c r="C52" s="321"/>
      <c r="D52" s="322"/>
      <c r="E52" s="555"/>
      <c r="F52" s="322">
        <f t="shared" si="0"/>
        <v>0</v>
      </c>
      <c r="G52" s="553"/>
      <c r="H52" s="554"/>
      <c r="I52" s="128">
        <f t="shared" si="3"/>
        <v>3.1974423109204508E-14</v>
      </c>
    </row>
    <row r="53" spans="1:9" x14ac:dyDescent="0.25">
      <c r="B53" s="332">
        <f t="shared" si="1"/>
        <v>0</v>
      </c>
      <c r="C53" s="321"/>
      <c r="D53" s="322"/>
      <c r="E53" s="555"/>
      <c r="F53" s="322">
        <f t="shared" si="0"/>
        <v>0</v>
      </c>
      <c r="G53" s="553"/>
      <c r="H53" s="554"/>
      <c r="I53" s="128">
        <f t="shared" si="3"/>
        <v>3.1974423109204508E-14</v>
      </c>
    </row>
    <row r="54" spans="1:9" x14ac:dyDescent="0.25">
      <c r="B54" s="332">
        <f t="shared" si="1"/>
        <v>0</v>
      </c>
      <c r="C54" s="321"/>
      <c r="D54" s="322"/>
      <c r="E54" s="555"/>
      <c r="F54" s="322">
        <f t="shared" si="0"/>
        <v>0</v>
      </c>
      <c r="G54" s="553"/>
      <c r="H54" s="554"/>
      <c r="I54" s="128">
        <f t="shared" si="3"/>
        <v>3.1974423109204508E-14</v>
      </c>
    </row>
    <row r="55" spans="1:9" x14ac:dyDescent="0.25">
      <c r="B55" s="332">
        <f t="shared" si="1"/>
        <v>0</v>
      </c>
      <c r="C55" s="321"/>
      <c r="D55" s="322"/>
      <c r="E55" s="555"/>
      <c r="F55" s="322">
        <f t="shared" si="0"/>
        <v>0</v>
      </c>
      <c r="G55" s="553"/>
      <c r="H55" s="554"/>
      <c r="I55" s="128">
        <f t="shared" si="3"/>
        <v>3.1974423109204508E-14</v>
      </c>
    </row>
    <row r="56" spans="1:9" x14ac:dyDescent="0.25">
      <c r="B56" s="332">
        <f t="shared" si="1"/>
        <v>0</v>
      </c>
      <c r="C56" s="321"/>
      <c r="D56" s="322"/>
      <c r="E56" s="555"/>
      <c r="F56" s="322">
        <f t="shared" si="0"/>
        <v>0</v>
      </c>
      <c r="G56" s="553"/>
      <c r="H56" s="554"/>
      <c r="I56" s="128">
        <f t="shared" si="3"/>
        <v>3.1974423109204508E-14</v>
      </c>
    </row>
    <row r="57" spans="1:9" x14ac:dyDescent="0.25">
      <c r="B57" s="332">
        <f t="shared" si="1"/>
        <v>0</v>
      </c>
      <c r="C57" s="321"/>
      <c r="D57" s="322"/>
      <c r="E57" s="555"/>
      <c r="F57" s="322">
        <f t="shared" si="0"/>
        <v>0</v>
      </c>
      <c r="G57" s="553"/>
      <c r="H57" s="554"/>
      <c r="I57" s="128">
        <f t="shared" si="3"/>
        <v>3.1974423109204508E-14</v>
      </c>
    </row>
    <row r="58" spans="1:9" x14ac:dyDescent="0.25">
      <c r="B58" s="332">
        <f t="shared" si="1"/>
        <v>0</v>
      </c>
      <c r="C58" s="321"/>
      <c r="D58" s="322"/>
      <c r="E58" s="445"/>
      <c r="F58" s="322"/>
      <c r="G58" s="553"/>
      <c r="H58" s="554"/>
      <c r="I58" s="128">
        <f t="shared" si="3"/>
        <v>3.1974423109204508E-14</v>
      </c>
    </row>
    <row r="59" spans="1:9" x14ac:dyDescent="0.25">
      <c r="B59" s="332"/>
      <c r="C59" s="321"/>
      <c r="D59" s="322"/>
      <c r="E59" s="445"/>
      <c r="F59" s="322"/>
      <c r="G59" s="556"/>
      <c r="H59" s="445"/>
      <c r="I59" s="128"/>
    </row>
    <row r="60" spans="1:9" x14ac:dyDescent="0.25">
      <c r="B60" s="332"/>
      <c r="C60" s="321"/>
      <c r="D60" s="322"/>
      <c r="E60" s="445"/>
      <c r="F60" s="322"/>
      <c r="G60" s="556"/>
      <c r="H60" s="445"/>
      <c r="I60" s="128"/>
    </row>
    <row r="61" spans="1:9" ht="15.75" thickBot="1" x14ac:dyDescent="0.3">
      <c r="B61" s="73"/>
      <c r="C61" s="323"/>
      <c r="D61" s="485"/>
      <c r="E61" s="330"/>
      <c r="F61" s="329"/>
      <c r="G61" s="331"/>
      <c r="H61" s="444"/>
      <c r="I61" s="265"/>
    </row>
    <row r="62" spans="1:9" ht="15.75" thickTop="1" x14ac:dyDescent="0.25">
      <c r="A62" s="74"/>
      <c r="B62" s="74"/>
      <c r="C62" s="74">
        <f>SUM(C10:C61)</f>
        <v>34</v>
      </c>
      <c r="D62" s="102">
        <f>SUM(D10:D61)</f>
        <v>950.03000000000009</v>
      </c>
      <c r="E62" s="74"/>
      <c r="F62" s="102">
        <f>SUM(F10:F61)</f>
        <v>950.03000000000009</v>
      </c>
      <c r="G62" s="74"/>
      <c r="H62" s="74"/>
    </row>
    <row r="63" spans="1:9" x14ac:dyDescent="0.25">
      <c r="A63" s="74"/>
      <c r="B63" s="74"/>
      <c r="C63" s="567"/>
      <c r="D63" s="566"/>
      <c r="E63" s="566"/>
      <c r="F63" s="568"/>
      <c r="G63" s="74"/>
      <c r="H63" s="74"/>
    </row>
    <row r="64" spans="1:9" ht="15.75" thickBot="1" x14ac:dyDescent="0.3">
      <c r="A64" s="74"/>
      <c r="B64" s="74"/>
      <c r="C64" s="567"/>
      <c r="D64" s="566"/>
      <c r="E64" s="566"/>
      <c r="F64" s="566"/>
      <c r="G64" s="74"/>
      <c r="H64" s="74"/>
    </row>
    <row r="65" spans="1:8" ht="29.25" customHeight="1" x14ac:dyDescent="0.25">
      <c r="A65" s="74"/>
      <c r="B65" s="74"/>
      <c r="C65" s="74"/>
      <c r="D65" s="569" t="s">
        <v>21</v>
      </c>
      <c r="E65" s="570"/>
      <c r="F65" s="57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72" t="s">
        <v>4</v>
      </c>
      <c r="E66" s="573"/>
      <c r="F66" s="57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M1" workbookViewId="0">
      <selection activeCell="L17" sqref="L17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663" t="s">
        <v>326</v>
      </c>
      <c r="B1" s="1663"/>
      <c r="C1" s="1663"/>
      <c r="D1" s="1663"/>
      <c r="E1" s="1663"/>
      <c r="F1" s="1663"/>
      <c r="G1" s="1663"/>
      <c r="H1" s="11">
        <v>1</v>
      </c>
      <c r="K1" s="1663" t="str">
        <f>A1</f>
        <v>INVENTARIO     DEL MES DE     JUNIO    2023</v>
      </c>
      <c r="L1" s="1663"/>
      <c r="M1" s="1663"/>
      <c r="N1" s="1663"/>
      <c r="O1" s="1663"/>
      <c r="P1" s="1663"/>
      <c r="Q1" s="1663"/>
      <c r="R1" s="11">
        <v>2</v>
      </c>
      <c r="U1" s="1663" t="s">
        <v>318</v>
      </c>
      <c r="V1" s="1663"/>
      <c r="W1" s="1663"/>
      <c r="X1" s="1663"/>
      <c r="Y1" s="1663"/>
      <c r="Z1" s="1663"/>
      <c r="AA1" s="1663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774" t="s">
        <v>85</v>
      </c>
      <c r="C4" s="99"/>
      <c r="D4" s="131"/>
      <c r="E4" s="85"/>
      <c r="F4" s="72"/>
      <c r="G4" s="966"/>
      <c r="L4" s="1774" t="s">
        <v>85</v>
      </c>
      <c r="M4" s="99"/>
      <c r="N4" s="131"/>
      <c r="O4" s="85">
        <v>233.38</v>
      </c>
      <c r="P4" s="1016">
        <v>10</v>
      </c>
      <c r="Q4" s="1017"/>
      <c r="V4" s="1774" t="s">
        <v>85</v>
      </c>
      <c r="W4" s="1549"/>
      <c r="X4" s="131"/>
      <c r="Y4" s="85"/>
      <c r="Z4" s="1146"/>
      <c r="AA4" s="1147"/>
    </row>
    <row r="5" spans="1:29" x14ac:dyDescent="0.25">
      <c r="A5" s="74" t="s">
        <v>52</v>
      </c>
      <c r="B5" s="1775"/>
      <c r="C5" s="124">
        <v>68</v>
      </c>
      <c r="D5" s="131">
        <v>45043</v>
      </c>
      <c r="E5" s="85">
        <v>977.64</v>
      </c>
      <c r="F5" s="72">
        <v>40</v>
      </c>
      <c r="G5" s="48">
        <f>F32</f>
        <v>977.6400000000001</v>
      </c>
      <c r="H5" s="134">
        <f>E5-G5+E6</f>
        <v>-1.1368683772161603E-13</v>
      </c>
      <c r="K5" s="74" t="s">
        <v>52</v>
      </c>
      <c r="L5" s="1775"/>
      <c r="M5" s="124">
        <v>76</v>
      </c>
      <c r="N5" s="131">
        <v>45062</v>
      </c>
      <c r="O5" s="85">
        <v>1958.43</v>
      </c>
      <c r="P5" s="1016">
        <v>85</v>
      </c>
      <c r="Q5" s="48">
        <f>P32</f>
        <v>1695.23</v>
      </c>
      <c r="R5" s="134">
        <f>O5-Q5+O6</f>
        <v>263.20000000000005</v>
      </c>
      <c r="U5" s="74" t="s">
        <v>52</v>
      </c>
      <c r="V5" s="1775"/>
      <c r="W5" s="124">
        <v>70</v>
      </c>
      <c r="X5" s="131">
        <v>45096</v>
      </c>
      <c r="Y5" s="85">
        <v>978.28</v>
      </c>
      <c r="Z5" s="1146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16"/>
      <c r="Q6" s="1016"/>
      <c r="W6" s="99"/>
      <c r="X6" s="131"/>
      <c r="Y6" s="74"/>
      <c r="Z6" s="1146"/>
      <c r="AA6" s="1146"/>
    </row>
    <row r="7" spans="1:29" ht="17.25" thickTop="1" thickBot="1" x14ac:dyDescent="0.3">
      <c r="B7" s="527" t="s">
        <v>7</v>
      </c>
      <c r="C7" s="528" t="s">
        <v>8</v>
      </c>
      <c r="D7" s="529" t="s">
        <v>17</v>
      </c>
      <c r="E7" s="530" t="s">
        <v>2</v>
      </c>
      <c r="F7" s="531" t="s">
        <v>18</v>
      </c>
      <c r="G7" s="532" t="s">
        <v>15</v>
      </c>
      <c r="H7" s="24"/>
      <c r="I7" s="1007"/>
      <c r="L7" s="1019" t="s">
        <v>7</v>
      </c>
      <c r="M7" s="1020" t="s">
        <v>8</v>
      </c>
      <c r="N7" s="1021" t="s">
        <v>17</v>
      </c>
      <c r="O7" s="1022" t="s">
        <v>2</v>
      </c>
      <c r="P7" s="1023" t="s">
        <v>18</v>
      </c>
      <c r="Q7" s="1024" t="s">
        <v>15</v>
      </c>
      <c r="R7" s="790"/>
      <c r="S7" s="581"/>
      <c r="T7" s="594"/>
      <c r="V7" s="1019" t="s">
        <v>7</v>
      </c>
      <c r="W7" s="1020" t="s">
        <v>8</v>
      </c>
      <c r="X7" s="1021" t="s">
        <v>17</v>
      </c>
      <c r="Y7" s="1022" t="s">
        <v>2</v>
      </c>
      <c r="Z7" s="1023" t="s">
        <v>18</v>
      </c>
      <c r="AA7" s="1024" t="s">
        <v>15</v>
      </c>
      <c r="AB7" s="790"/>
      <c r="AC7" s="581"/>
    </row>
    <row r="8" spans="1:29" ht="15.75" thickTop="1" x14ac:dyDescent="0.25">
      <c r="A8" s="54"/>
      <c r="B8" s="642">
        <f>F4+F5+F6-C8</f>
        <v>40</v>
      </c>
      <c r="C8" s="967">
        <v>0</v>
      </c>
      <c r="D8" s="599">
        <v>0</v>
      </c>
      <c r="E8" s="578"/>
      <c r="F8" s="562">
        <f t="shared" ref="F8:F28" si="0">D8</f>
        <v>0</v>
      </c>
      <c r="G8" s="943">
        <v>0</v>
      </c>
      <c r="H8" s="230">
        <v>0</v>
      </c>
      <c r="I8" s="630">
        <f>E4+E5+E6-F8</f>
        <v>977.64</v>
      </c>
      <c r="K8" s="54"/>
      <c r="L8" s="642">
        <f>P4+P5+P6-M8</f>
        <v>95</v>
      </c>
      <c r="M8" s="967">
        <v>0</v>
      </c>
      <c r="N8" s="599">
        <v>0</v>
      </c>
      <c r="O8" s="578"/>
      <c r="P8" s="562">
        <f t="shared" ref="P8:P28" si="1">N8</f>
        <v>0</v>
      </c>
      <c r="Q8" s="943">
        <v>0</v>
      </c>
      <c r="R8" s="230">
        <v>0</v>
      </c>
      <c r="S8" s="630">
        <f>O4+O5+O6-P8</f>
        <v>2191.81</v>
      </c>
      <c r="T8" s="594"/>
      <c r="U8" s="54"/>
      <c r="V8" s="642">
        <f>Z4+Z5+Z6-W8</f>
        <v>42</v>
      </c>
      <c r="W8" s="967">
        <v>0</v>
      </c>
      <c r="X8" s="599">
        <v>0</v>
      </c>
      <c r="Y8" s="578"/>
      <c r="Z8" s="562">
        <f t="shared" ref="Z8:Z28" si="2">X8</f>
        <v>0</v>
      </c>
      <c r="AA8" s="943">
        <v>0</v>
      </c>
      <c r="AB8" s="230">
        <v>0</v>
      </c>
      <c r="AC8" s="630">
        <f>Y4+Y5+Y6-Z8</f>
        <v>978.28</v>
      </c>
    </row>
    <row r="9" spans="1:29" x14ac:dyDescent="0.25">
      <c r="A9" s="74"/>
      <c r="B9" s="724">
        <f>B8-C9</f>
        <v>20</v>
      </c>
      <c r="C9" s="967">
        <v>20</v>
      </c>
      <c r="D9" s="599">
        <v>509.35</v>
      </c>
      <c r="E9" s="578">
        <v>45057</v>
      </c>
      <c r="F9" s="562">
        <f t="shared" si="0"/>
        <v>509.35</v>
      </c>
      <c r="G9" s="943" t="s">
        <v>159</v>
      </c>
      <c r="H9" s="230">
        <v>70</v>
      </c>
      <c r="I9" s="560">
        <f>I8-F9</f>
        <v>468.28999999999996</v>
      </c>
      <c r="K9" s="74"/>
      <c r="L9" s="724">
        <f>L8-M9</f>
        <v>74</v>
      </c>
      <c r="M9" s="967">
        <v>21</v>
      </c>
      <c r="N9" s="599">
        <v>489.2</v>
      </c>
      <c r="O9" s="578">
        <v>45087</v>
      </c>
      <c r="P9" s="562">
        <f t="shared" si="1"/>
        <v>489.2</v>
      </c>
      <c r="Q9" s="943" t="s">
        <v>211</v>
      </c>
      <c r="R9" s="230">
        <v>78</v>
      </c>
      <c r="S9" s="560">
        <f>S8-P9</f>
        <v>1702.61</v>
      </c>
      <c r="T9" s="594"/>
      <c r="U9" s="74"/>
      <c r="V9" s="724">
        <f>V8-W9</f>
        <v>42</v>
      </c>
      <c r="W9" s="967"/>
      <c r="X9" s="599"/>
      <c r="Y9" s="578"/>
      <c r="Z9" s="562">
        <f t="shared" si="2"/>
        <v>0</v>
      </c>
      <c r="AA9" s="943"/>
      <c r="AB9" s="230"/>
      <c r="AC9" s="560">
        <f>AC8-Z9</f>
        <v>978.28</v>
      </c>
    </row>
    <row r="10" spans="1:29" x14ac:dyDescent="0.25">
      <c r="A10" s="74"/>
      <c r="B10" s="724">
        <f t="shared" ref="B10:B28" si="3">B9-C10</f>
        <v>19</v>
      </c>
      <c r="C10" s="968">
        <v>1</v>
      </c>
      <c r="D10" s="599">
        <v>23.19</v>
      </c>
      <c r="E10" s="578">
        <v>45082</v>
      </c>
      <c r="F10" s="562">
        <f t="shared" si="0"/>
        <v>23.19</v>
      </c>
      <c r="G10" s="943" t="s">
        <v>197</v>
      </c>
      <c r="H10" s="230">
        <v>70</v>
      </c>
      <c r="I10" s="560">
        <f t="shared" ref="I10:I28" si="4">I9-F10</f>
        <v>445.09999999999997</v>
      </c>
      <c r="K10" s="74"/>
      <c r="L10" s="724">
        <f t="shared" ref="L10:L28" si="5">L9-M10</f>
        <v>65</v>
      </c>
      <c r="M10" s="968">
        <v>9</v>
      </c>
      <c r="N10" s="599">
        <v>217.65</v>
      </c>
      <c r="O10" s="578">
        <v>45093</v>
      </c>
      <c r="P10" s="562">
        <f t="shared" si="1"/>
        <v>217.65</v>
      </c>
      <c r="Q10" s="943" t="s">
        <v>237</v>
      </c>
      <c r="R10" s="230">
        <v>78</v>
      </c>
      <c r="S10" s="560">
        <f t="shared" ref="S10:S28" si="6">S9-P10</f>
        <v>1484.9599999999998</v>
      </c>
      <c r="U10" s="74"/>
      <c r="V10" s="724">
        <f t="shared" ref="V10:V28" si="7">V9-W10</f>
        <v>42</v>
      </c>
      <c r="W10" s="968"/>
      <c r="X10" s="599"/>
      <c r="Y10" s="578"/>
      <c r="Z10" s="562">
        <f t="shared" si="2"/>
        <v>0</v>
      </c>
      <c r="AA10" s="943"/>
      <c r="AB10" s="230"/>
      <c r="AC10" s="560">
        <f t="shared" ref="AC10:AC28" si="8">AC9-Z10</f>
        <v>978.28</v>
      </c>
    </row>
    <row r="11" spans="1:29" x14ac:dyDescent="0.25">
      <c r="A11" s="54"/>
      <c r="B11" s="642">
        <f t="shared" si="3"/>
        <v>10</v>
      </c>
      <c r="C11" s="968">
        <v>9</v>
      </c>
      <c r="D11" s="599">
        <v>211.72</v>
      </c>
      <c r="E11" s="578">
        <v>45082</v>
      </c>
      <c r="F11" s="562">
        <f t="shared" si="0"/>
        <v>211.72</v>
      </c>
      <c r="G11" s="943" t="s">
        <v>198</v>
      </c>
      <c r="H11" s="230">
        <v>70</v>
      </c>
      <c r="I11" s="630">
        <f t="shared" si="4"/>
        <v>233.37999999999997</v>
      </c>
      <c r="K11" s="54"/>
      <c r="L11" s="642">
        <f t="shared" si="5"/>
        <v>65</v>
      </c>
      <c r="M11" s="1548"/>
      <c r="N11" s="599"/>
      <c r="O11" s="578"/>
      <c r="P11" s="562">
        <f t="shared" si="1"/>
        <v>0</v>
      </c>
      <c r="Q11" s="943"/>
      <c r="R11" s="929"/>
      <c r="S11" s="630">
        <f t="shared" si="6"/>
        <v>1484.9599999999998</v>
      </c>
      <c r="U11" s="54"/>
      <c r="V11" s="724">
        <f t="shared" si="7"/>
        <v>42</v>
      </c>
      <c r="W11" s="968"/>
      <c r="X11" s="599"/>
      <c r="Y11" s="578"/>
      <c r="Z11" s="562">
        <f t="shared" si="2"/>
        <v>0</v>
      </c>
      <c r="AA11" s="943"/>
      <c r="AB11" s="230"/>
      <c r="AC11" s="560">
        <f t="shared" si="8"/>
        <v>978.28</v>
      </c>
    </row>
    <row r="12" spans="1:29" x14ac:dyDescent="0.25">
      <c r="A12" s="74"/>
      <c r="B12" s="724">
        <f t="shared" si="3"/>
        <v>10</v>
      </c>
      <c r="C12" s="968"/>
      <c r="D12" s="599"/>
      <c r="E12" s="578"/>
      <c r="F12" s="562">
        <f t="shared" si="0"/>
        <v>0</v>
      </c>
      <c r="G12" s="943"/>
      <c r="H12" s="230"/>
      <c r="I12" s="560">
        <f t="shared" si="4"/>
        <v>233.37999999999997</v>
      </c>
      <c r="K12" s="74"/>
      <c r="L12" s="724">
        <f t="shared" si="5"/>
        <v>58</v>
      </c>
      <c r="M12" s="968">
        <v>7</v>
      </c>
      <c r="N12" s="1314">
        <v>165.4</v>
      </c>
      <c r="O12" s="1278">
        <v>45111</v>
      </c>
      <c r="P12" s="706">
        <f t="shared" si="1"/>
        <v>165.4</v>
      </c>
      <c r="Q12" s="1315" t="s">
        <v>508</v>
      </c>
      <c r="R12" s="1316">
        <v>78</v>
      </c>
      <c r="S12" s="560">
        <f t="shared" si="6"/>
        <v>1319.5599999999997</v>
      </c>
      <c r="U12" s="74"/>
      <c r="V12" s="724">
        <f t="shared" si="7"/>
        <v>42</v>
      </c>
      <c r="W12" s="968"/>
      <c r="X12" s="599"/>
      <c r="Y12" s="578"/>
      <c r="Z12" s="562">
        <f t="shared" si="2"/>
        <v>0</v>
      </c>
      <c r="AA12" s="943"/>
      <c r="AB12" s="230"/>
      <c r="AC12" s="560">
        <f t="shared" si="8"/>
        <v>978.28</v>
      </c>
    </row>
    <row r="13" spans="1:29" x14ac:dyDescent="0.25">
      <c r="A13" s="74"/>
      <c r="B13" s="724">
        <f t="shared" si="3"/>
        <v>10</v>
      </c>
      <c r="C13" s="968"/>
      <c r="D13" s="1308"/>
      <c r="E13" s="1047"/>
      <c r="F13" s="705">
        <f t="shared" si="0"/>
        <v>0</v>
      </c>
      <c r="G13" s="1309"/>
      <c r="H13" s="1310"/>
      <c r="I13" s="560">
        <f t="shared" si="4"/>
        <v>233.37999999999997</v>
      </c>
      <c r="K13" s="74"/>
      <c r="L13" s="724">
        <f t="shared" si="5"/>
        <v>52</v>
      </c>
      <c r="M13" s="968">
        <v>6</v>
      </c>
      <c r="N13" s="1314">
        <v>145.86000000000001</v>
      </c>
      <c r="O13" s="1278">
        <v>45119</v>
      </c>
      <c r="P13" s="706">
        <f t="shared" si="1"/>
        <v>145.86000000000001</v>
      </c>
      <c r="Q13" s="1315" t="s">
        <v>574</v>
      </c>
      <c r="R13" s="1316">
        <v>78</v>
      </c>
      <c r="S13" s="560">
        <f t="shared" si="6"/>
        <v>1173.6999999999998</v>
      </c>
      <c r="U13" s="74"/>
      <c r="V13" s="724">
        <f t="shared" si="7"/>
        <v>42</v>
      </c>
      <c r="W13" s="968"/>
      <c r="X13" s="599"/>
      <c r="Y13" s="578"/>
      <c r="Z13" s="562">
        <f t="shared" si="2"/>
        <v>0</v>
      </c>
      <c r="AA13" s="943"/>
      <c r="AB13" s="230"/>
      <c r="AC13" s="560">
        <f t="shared" si="8"/>
        <v>978.28</v>
      </c>
    </row>
    <row r="14" spans="1:29" x14ac:dyDescent="0.25">
      <c r="B14" s="724">
        <f t="shared" si="3"/>
        <v>0</v>
      </c>
      <c r="C14" s="968">
        <v>10</v>
      </c>
      <c r="D14" s="1308"/>
      <c r="E14" s="1047"/>
      <c r="F14" s="705">
        <v>233.38</v>
      </c>
      <c r="G14" s="1309"/>
      <c r="H14" s="1310"/>
      <c r="I14" s="560">
        <f t="shared" si="4"/>
        <v>0</v>
      </c>
      <c r="L14" s="724">
        <f t="shared" si="5"/>
        <v>45</v>
      </c>
      <c r="M14" s="968">
        <v>7</v>
      </c>
      <c r="N14" s="1314">
        <v>165.84</v>
      </c>
      <c r="O14" s="1278">
        <v>45124</v>
      </c>
      <c r="P14" s="706">
        <f t="shared" si="1"/>
        <v>165.84</v>
      </c>
      <c r="Q14" s="1315" t="s">
        <v>621</v>
      </c>
      <c r="R14" s="1316">
        <v>78</v>
      </c>
      <c r="S14" s="560">
        <f t="shared" si="6"/>
        <v>1007.8599999999998</v>
      </c>
      <c r="V14" s="724">
        <f t="shared" si="7"/>
        <v>42</v>
      </c>
      <c r="W14" s="968"/>
      <c r="X14" s="599"/>
      <c r="Y14" s="578"/>
      <c r="Z14" s="562">
        <f t="shared" si="2"/>
        <v>0</v>
      </c>
      <c r="AA14" s="943"/>
      <c r="AB14" s="230"/>
      <c r="AC14" s="560">
        <f t="shared" si="8"/>
        <v>978.28</v>
      </c>
    </row>
    <row r="15" spans="1:29" x14ac:dyDescent="0.25">
      <c r="B15" s="724">
        <f t="shared" si="3"/>
        <v>0</v>
      </c>
      <c r="C15" s="968"/>
      <c r="D15" s="1308"/>
      <c r="E15" s="1047"/>
      <c r="F15" s="1550">
        <f t="shared" si="0"/>
        <v>0</v>
      </c>
      <c r="G15" s="1551"/>
      <c r="H15" s="1552"/>
      <c r="I15" s="1501">
        <f t="shared" si="4"/>
        <v>0</v>
      </c>
      <c r="L15" s="724">
        <f t="shared" si="5"/>
        <v>23</v>
      </c>
      <c r="M15" s="968">
        <v>22</v>
      </c>
      <c r="N15" s="1314">
        <v>511.28</v>
      </c>
      <c r="O15" s="1278">
        <v>45129</v>
      </c>
      <c r="P15" s="706">
        <f t="shared" si="1"/>
        <v>511.28</v>
      </c>
      <c r="Q15" s="1315" t="s">
        <v>674</v>
      </c>
      <c r="R15" s="1316">
        <v>78</v>
      </c>
      <c r="S15" s="560">
        <f t="shared" si="6"/>
        <v>496.57999999999981</v>
      </c>
      <c r="V15" s="724">
        <f t="shared" si="7"/>
        <v>42</v>
      </c>
      <c r="W15" s="968"/>
      <c r="X15" s="599"/>
      <c r="Y15" s="578"/>
      <c r="Z15" s="562">
        <f t="shared" si="2"/>
        <v>0</v>
      </c>
      <c r="AA15" s="943"/>
      <c r="AB15" s="230"/>
      <c r="AC15" s="560">
        <f t="shared" si="8"/>
        <v>978.28</v>
      </c>
    </row>
    <row r="16" spans="1:29" x14ac:dyDescent="0.25">
      <c r="B16" s="724">
        <f t="shared" si="3"/>
        <v>0</v>
      </c>
      <c r="C16" s="968"/>
      <c r="D16" s="1308"/>
      <c r="E16" s="1047"/>
      <c r="F16" s="1550">
        <f t="shared" si="0"/>
        <v>0</v>
      </c>
      <c r="G16" s="1551"/>
      <c r="H16" s="1552"/>
      <c r="I16" s="1501">
        <f t="shared" si="4"/>
        <v>0</v>
      </c>
      <c r="L16" s="724">
        <f t="shared" si="5"/>
        <v>23</v>
      </c>
      <c r="M16" s="968"/>
      <c r="N16" s="1314"/>
      <c r="O16" s="1278"/>
      <c r="P16" s="706">
        <f t="shared" si="1"/>
        <v>0</v>
      </c>
      <c r="Q16" s="1315"/>
      <c r="R16" s="1316"/>
      <c r="S16" s="560">
        <f t="shared" si="6"/>
        <v>496.57999999999981</v>
      </c>
      <c r="V16" s="724">
        <f t="shared" si="7"/>
        <v>42</v>
      </c>
      <c r="W16" s="968"/>
      <c r="X16" s="599"/>
      <c r="Y16" s="578"/>
      <c r="Z16" s="562">
        <f t="shared" si="2"/>
        <v>0</v>
      </c>
      <c r="AA16" s="943"/>
      <c r="AB16" s="230"/>
      <c r="AC16" s="560">
        <f t="shared" si="8"/>
        <v>978.28</v>
      </c>
    </row>
    <row r="17" spans="1:29" x14ac:dyDescent="0.25">
      <c r="B17" s="724">
        <f t="shared" si="3"/>
        <v>0</v>
      </c>
      <c r="C17" s="968"/>
      <c r="D17" s="1308"/>
      <c r="E17" s="1047"/>
      <c r="F17" s="1550">
        <f t="shared" si="0"/>
        <v>0</v>
      </c>
      <c r="G17" s="1551"/>
      <c r="H17" s="1552"/>
      <c r="I17" s="1501">
        <f t="shared" si="4"/>
        <v>0</v>
      </c>
      <c r="L17" s="724">
        <f t="shared" si="5"/>
        <v>23</v>
      </c>
      <c r="M17" s="968"/>
      <c r="N17" s="1314"/>
      <c r="O17" s="1278"/>
      <c r="P17" s="706">
        <f t="shared" si="1"/>
        <v>0</v>
      </c>
      <c r="Q17" s="1315"/>
      <c r="R17" s="1316"/>
      <c r="S17" s="560">
        <f t="shared" si="6"/>
        <v>496.57999999999981</v>
      </c>
      <c r="V17" s="724">
        <f t="shared" si="7"/>
        <v>42</v>
      </c>
      <c r="W17" s="968"/>
      <c r="X17" s="599"/>
      <c r="Y17" s="578"/>
      <c r="Z17" s="562">
        <f t="shared" si="2"/>
        <v>0</v>
      </c>
      <c r="AA17" s="943"/>
      <c r="AB17" s="230"/>
      <c r="AC17" s="560">
        <f t="shared" si="8"/>
        <v>978.28</v>
      </c>
    </row>
    <row r="18" spans="1:29" x14ac:dyDescent="0.25">
      <c r="B18" s="724">
        <f t="shared" si="3"/>
        <v>0</v>
      </c>
      <c r="C18" s="968"/>
      <c r="D18" s="1308"/>
      <c r="E18" s="1047"/>
      <c r="F18" s="1550">
        <f t="shared" si="0"/>
        <v>0</v>
      </c>
      <c r="G18" s="1551"/>
      <c r="H18" s="1552"/>
      <c r="I18" s="1501">
        <f t="shared" si="4"/>
        <v>0</v>
      </c>
      <c r="L18" s="724">
        <f t="shared" si="5"/>
        <v>23</v>
      </c>
      <c r="M18" s="968"/>
      <c r="N18" s="1314"/>
      <c r="O18" s="1278"/>
      <c r="P18" s="706">
        <f t="shared" si="1"/>
        <v>0</v>
      </c>
      <c r="Q18" s="1315"/>
      <c r="R18" s="1316"/>
      <c r="S18" s="560">
        <f t="shared" si="6"/>
        <v>496.57999999999981</v>
      </c>
      <c r="V18" s="724">
        <f t="shared" si="7"/>
        <v>42</v>
      </c>
      <c r="W18" s="968"/>
      <c r="X18" s="599"/>
      <c r="Y18" s="578"/>
      <c r="Z18" s="562">
        <f t="shared" si="2"/>
        <v>0</v>
      </c>
      <c r="AA18" s="943"/>
      <c r="AB18" s="230"/>
      <c r="AC18" s="560">
        <f t="shared" si="8"/>
        <v>978.28</v>
      </c>
    </row>
    <row r="19" spans="1:29" x14ac:dyDescent="0.25">
      <c r="B19" s="724">
        <f t="shared" si="3"/>
        <v>0</v>
      </c>
      <c r="C19" s="968"/>
      <c r="D19" s="1308"/>
      <c r="E19" s="1047"/>
      <c r="F19" s="705">
        <f t="shared" si="0"/>
        <v>0</v>
      </c>
      <c r="G19" s="1309"/>
      <c r="H19" s="1310"/>
      <c r="I19" s="560">
        <f t="shared" si="4"/>
        <v>0</v>
      </c>
      <c r="L19" s="724">
        <f t="shared" si="5"/>
        <v>23</v>
      </c>
      <c r="M19" s="968"/>
      <c r="N19" s="1314"/>
      <c r="O19" s="1278"/>
      <c r="P19" s="706">
        <f t="shared" si="1"/>
        <v>0</v>
      </c>
      <c r="Q19" s="1315"/>
      <c r="R19" s="1316"/>
      <c r="S19" s="560">
        <f t="shared" si="6"/>
        <v>496.57999999999981</v>
      </c>
      <c r="V19" s="724">
        <f t="shared" si="7"/>
        <v>42</v>
      </c>
      <c r="W19" s="968"/>
      <c r="X19" s="599"/>
      <c r="Y19" s="578"/>
      <c r="Z19" s="562">
        <f t="shared" si="2"/>
        <v>0</v>
      </c>
      <c r="AA19" s="943"/>
      <c r="AB19" s="230"/>
      <c r="AC19" s="560">
        <f t="shared" si="8"/>
        <v>978.28</v>
      </c>
    </row>
    <row r="20" spans="1:29" x14ac:dyDescent="0.25">
      <c r="B20" s="724">
        <f t="shared" si="3"/>
        <v>0</v>
      </c>
      <c r="C20" s="968"/>
      <c r="D20" s="1308"/>
      <c r="E20" s="1047"/>
      <c r="F20" s="705">
        <f t="shared" si="0"/>
        <v>0</v>
      </c>
      <c r="G20" s="1309"/>
      <c r="H20" s="1310"/>
      <c r="I20" s="560">
        <f t="shared" si="4"/>
        <v>0</v>
      </c>
      <c r="L20" s="724">
        <f t="shared" si="5"/>
        <v>23</v>
      </c>
      <c r="M20" s="968"/>
      <c r="N20" s="1314"/>
      <c r="O20" s="1278"/>
      <c r="P20" s="706">
        <f t="shared" si="1"/>
        <v>0</v>
      </c>
      <c r="Q20" s="1315"/>
      <c r="R20" s="1316"/>
      <c r="S20" s="560">
        <f t="shared" si="6"/>
        <v>496.57999999999981</v>
      </c>
      <c r="V20" s="724">
        <f t="shared" si="7"/>
        <v>42</v>
      </c>
      <c r="W20" s="968"/>
      <c r="X20" s="599"/>
      <c r="Y20" s="578"/>
      <c r="Z20" s="562">
        <f t="shared" si="2"/>
        <v>0</v>
      </c>
      <c r="AA20" s="943"/>
      <c r="AB20" s="230"/>
      <c r="AC20" s="560">
        <f t="shared" si="8"/>
        <v>978.28</v>
      </c>
    </row>
    <row r="21" spans="1:29" x14ac:dyDescent="0.25">
      <c r="B21" s="382">
        <f t="shared" si="3"/>
        <v>0</v>
      </c>
      <c r="C21" s="521"/>
      <c r="D21" s="1311"/>
      <c r="E21" s="1054"/>
      <c r="F21" s="526">
        <f t="shared" si="0"/>
        <v>0</v>
      </c>
      <c r="G21" s="1312"/>
      <c r="H21" s="1313"/>
      <c r="I21" s="128">
        <f t="shared" si="4"/>
        <v>0</v>
      </c>
      <c r="L21" s="382">
        <f t="shared" si="5"/>
        <v>23</v>
      </c>
      <c r="M21" s="521"/>
      <c r="N21" s="1317"/>
      <c r="O21" s="1279"/>
      <c r="P21" s="1274">
        <f t="shared" si="1"/>
        <v>0</v>
      </c>
      <c r="Q21" s="1318"/>
      <c r="R21" s="1319"/>
      <c r="S21" s="128">
        <f t="shared" si="6"/>
        <v>496.57999999999981</v>
      </c>
      <c r="V21" s="382">
        <f t="shared" si="7"/>
        <v>42</v>
      </c>
      <c r="W21" s="521"/>
      <c r="X21" s="322"/>
      <c r="Y21" s="130"/>
      <c r="Z21" s="91">
        <f t="shared" si="2"/>
        <v>0</v>
      </c>
      <c r="AA21" s="274"/>
      <c r="AB21" s="148"/>
      <c r="AC21" s="128">
        <f t="shared" si="8"/>
        <v>978.28</v>
      </c>
    </row>
    <row r="22" spans="1:29" x14ac:dyDescent="0.25">
      <c r="B22" s="382">
        <f t="shared" si="3"/>
        <v>0</v>
      </c>
      <c r="C22" s="521"/>
      <c r="D22" s="1311"/>
      <c r="E22" s="1054"/>
      <c r="F22" s="526">
        <f t="shared" si="0"/>
        <v>0</v>
      </c>
      <c r="G22" s="1312"/>
      <c r="H22" s="1313"/>
      <c r="I22" s="128">
        <f t="shared" si="4"/>
        <v>0</v>
      </c>
      <c r="L22" s="382">
        <f t="shared" si="5"/>
        <v>23</v>
      </c>
      <c r="M22" s="521"/>
      <c r="N22" s="1317"/>
      <c r="O22" s="1279"/>
      <c r="P22" s="1274">
        <f t="shared" si="1"/>
        <v>0</v>
      </c>
      <c r="Q22" s="1318"/>
      <c r="R22" s="1319"/>
      <c r="S22" s="128">
        <f t="shared" si="6"/>
        <v>496.57999999999981</v>
      </c>
      <c r="V22" s="382">
        <f t="shared" si="7"/>
        <v>42</v>
      </c>
      <c r="W22" s="521"/>
      <c r="X22" s="322"/>
      <c r="Y22" s="130"/>
      <c r="Z22" s="91">
        <f t="shared" si="2"/>
        <v>0</v>
      </c>
      <c r="AA22" s="274"/>
      <c r="AB22" s="148"/>
      <c r="AC22" s="128">
        <f t="shared" si="8"/>
        <v>978.28</v>
      </c>
    </row>
    <row r="23" spans="1:29" x14ac:dyDescent="0.25">
      <c r="B23" s="382">
        <f t="shared" si="3"/>
        <v>0</v>
      </c>
      <c r="C23" s="521"/>
      <c r="D23" s="1311"/>
      <c r="E23" s="1054"/>
      <c r="F23" s="526">
        <f t="shared" si="0"/>
        <v>0</v>
      </c>
      <c r="G23" s="1312"/>
      <c r="H23" s="1313"/>
      <c r="I23" s="128">
        <f t="shared" si="4"/>
        <v>0</v>
      </c>
      <c r="L23" s="382">
        <f t="shared" si="5"/>
        <v>23</v>
      </c>
      <c r="M23" s="521"/>
      <c r="N23" s="1317"/>
      <c r="O23" s="1279"/>
      <c r="P23" s="1274">
        <f t="shared" si="1"/>
        <v>0</v>
      </c>
      <c r="Q23" s="1318"/>
      <c r="R23" s="1319"/>
      <c r="S23" s="128">
        <f t="shared" si="6"/>
        <v>496.57999999999981</v>
      </c>
      <c r="V23" s="382">
        <f t="shared" si="7"/>
        <v>42</v>
      </c>
      <c r="W23" s="521"/>
      <c r="X23" s="322"/>
      <c r="Y23" s="130"/>
      <c r="Z23" s="91">
        <f t="shared" si="2"/>
        <v>0</v>
      </c>
      <c r="AA23" s="274"/>
      <c r="AB23" s="148"/>
      <c r="AC23" s="128">
        <f t="shared" si="8"/>
        <v>978.28</v>
      </c>
    </row>
    <row r="24" spans="1:29" x14ac:dyDescent="0.25">
      <c r="B24" s="382">
        <f t="shared" si="3"/>
        <v>0</v>
      </c>
      <c r="C24" s="521"/>
      <c r="D24" s="1094"/>
      <c r="E24" s="1084"/>
      <c r="F24" s="1055">
        <f t="shared" si="0"/>
        <v>0</v>
      </c>
      <c r="G24" s="1095"/>
      <c r="H24" s="1096"/>
      <c r="I24" s="128">
        <f t="shared" si="4"/>
        <v>0</v>
      </c>
      <c r="L24" s="382">
        <f t="shared" si="5"/>
        <v>23</v>
      </c>
      <c r="M24" s="521"/>
      <c r="N24" s="1317"/>
      <c r="O24" s="1279"/>
      <c r="P24" s="1274">
        <f t="shared" si="1"/>
        <v>0</v>
      </c>
      <c r="Q24" s="1318"/>
      <c r="R24" s="1319"/>
      <c r="S24" s="128">
        <f t="shared" si="6"/>
        <v>496.57999999999981</v>
      </c>
      <c r="V24" s="382">
        <f t="shared" si="7"/>
        <v>42</v>
      </c>
      <c r="W24" s="521"/>
      <c r="X24" s="322"/>
      <c r="Y24" s="130"/>
      <c r="Z24" s="91">
        <f t="shared" si="2"/>
        <v>0</v>
      </c>
      <c r="AA24" s="274"/>
      <c r="AB24" s="148"/>
      <c r="AC24" s="128">
        <f t="shared" si="8"/>
        <v>978.28</v>
      </c>
    </row>
    <row r="25" spans="1:29" x14ac:dyDescent="0.25">
      <c r="B25" s="382">
        <f t="shared" si="3"/>
        <v>0</v>
      </c>
      <c r="C25" s="521"/>
      <c r="D25" s="1094"/>
      <c r="E25" s="1084"/>
      <c r="F25" s="1055">
        <f t="shared" si="0"/>
        <v>0</v>
      </c>
      <c r="G25" s="1095"/>
      <c r="H25" s="1096"/>
      <c r="I25" s="128">
        <f t="shared" si="4"/>
        <v>0</v>
      </c>
      <c r="L25" s="382">
        <f t="shared" si="5"/>
        <v>23</v>
      </c>
      <c r="M25" s="521"/>
      <c r="N25" s="1317"/>
      <c r="O25" s="1279"/>
      <c r="P25" s="1274">
        <f t="shared" si="1"/>
        <v>0</v>
      </c>
      <c r="Q25" s="1318"/>
      <c r="R25" s="1319"/>
      <c r="S25" s="128">
        <f t="shared" si="6"/>
        <v>496.57999999999981</v>
      </c>
      <c r="V25" s="382">
        <f t="shared" si="7"/>
        <v>42</v>
      </c>
      <c r="W25" s="521"/>
      <c r="X25" s="322"/>
      <c r="Y25" s="130"/>
      <c r="Z25" s="91">
        <f t="shared" si="2"/>
        <v>0</v>
      </c>
      <c r="AA25" s="274"/>
      <c r="AB25" s="148"/>
      <c r="AC25" s="128">
        <f t="shared" si="8"/>
        <v>978.28</v>
      </c>
    </row>
    <row r="26" spans="1:29" x14ac:dyDescent="0.25">
      <c r="B26" s="382">
        <f t="shared" si="3"/>
        <v>0</v>
      </c>
      <c r="C26" s="521"/>
      <c r="D26" s="1094"/>
      <c r="E26" s="1084"/>
      <c r="F26" s="1055">
        <f t="shared" si="0"/>
        <v>0</v>
      </c>
      <c r="G26" s="1097"/>
      <c r="H26" s="1096"/>
      <c r="I26" s="128">
        <f t="shared" si="4"/>
        <v>0</v>
      </c>
      <c r="L26" s="382">
        <f t="shared" si="5"/>
        <v>23</v>
      </c>
      <c r="M26" s="521"/>
      <c r="N26" s="1317"/>
      <c r="O26" s="1279"/>
      <c r="P26" s="1274">
        <f t="shared" si="1"/>
        <v>0</v>
      </c>
      <c r="Q26" s="1320"/>
      <c r="R26" s="1319"/>
      <c r="S26" s="128">
        <f t="shared" si="6"/>
        <v>496.57999999999981</v>
      </c>
      <c r="V26" s="382">
        <f t="shared" si="7"/>
        <v>42</v>
      </c>
      <c r="W26" s="521"/>
      <c r="X26" s="322"/>
      <c r="Y26" s="130"/>
      <c r="Z26" s="91">
        <f t="shared" si="2"/>
        <v>0</v>
      </c>
      <c r="AA26" s="762"/>
      <c r="AB26" s="148"/>
      <c r="AC26" s="128">
        <f t="shared" si="8"/>
        <v>978.28</v>
      </c>
    </row>
    <row r="27" spans="1:29" x14ac:dyDescent="0.25">
      <c r="B27" s="382">
        <f t="shared" si="3"/>
        <v>0</v>
      </c>
      <c r="C27" s="521"/>
      <c r="D27" s="1098"/>
      <c r="E27" s="1084"/>
      <c r="F27" s="1055">
        <f t="shared" si="0"/>
        <v>0</v>
      </c>
      <c r="G27" s="1099"/>
      <c r="H27" s="1100"/>
      <c r="I27" s="128">
        <f t="shared" si="4"/>
        <v>0</v>
      </c>
      <c r="L27" s="382">
        <f t="shared" si="5"/>
        <v>23</v>
      </c>
      <c r="M27" s="521"/>
      <c r="N27" s="763"/>
      <c r="O27" s="130"/>
      <c r="P27" s="91">
        <f t="shared" si="1"/>
        <v>0</v>
      </c>
      <c r="Q27" s="94"/>
      <c r="R27" s="64"/>
      <c r="S27" s="128">
        <f t="shared" si="6"/>
        <v>496.57999999999981</v>
      </c>
      <c r="V27" s="382">
        <f t="shared" si="7"/>
        <v>42</v>
      </c>
      <c r="W27" s="521"/>
      <c r="X27" s="763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2">
        <f t="shared" si="3"/>
        <v>0</v>
      </c>
      <c r="C28" s="521"/>
      <c r="D28" s="763"/>
      <c r="E28" s="764"/>
      <c r="F28" s="91">
        <f t="shared" si="0"/>
        <v>0</v>
      </c>
      <c r="G28" s="94"/>
      <c r="H28" s="64"/>
      <c r="I28" s="128">
        <f t="shared" si="4"/>
        <v>0</v>
      </c>
      <c r="L28" s="382">
        <f t="shared" si="5"/>
        <v>23</v>
      </c>
      <c r="M28" s="521"/>
      <c r="N28" s="763"/>
      <c r="O28" s="764"/>
      <c r="P28" s="91">
        <f t="shared" si="1"/>
        <v>0</v>
      </c>
      <c r="Q28" s="94"/>
      <c r="R28" s="64"/>
      <c r="S28" s="128">
        <f t="shared" si="6"/>
        <v>496.57999999999981</v>
      </c>
      <c r="V28" s="382">
        <f t="shared" si="7"/>
        <v>42</v>
      </c>
      <c r="W28" s="521"/>
      <c r="X28" s="763"/>
      <c r="Y28" s="764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3"/>
      <c r="C29" s="521"/>
      <c r="D29" s="970"/>
      <c r="E29" s="764"/>
      <c r="F29" s="406"/>
      <c r="G29" s="971"/>
      <c r="H29" s="64"/>
      <c r="L29" s="383"/>
      <c r="M29" s="521"/>
      <c r="N29" s="970"/>
      <c r="O29" s="764"/>
      <c r="P29" s="406"/>
      <c r="Q29" s="971"/>
      <c r="R29" s="64"/>
      <c r="V29" s="383"/>
      <c r="W29" s="521"/>
      <c r="X29" s="970"/>
      <c r="Y29" s="764"/>
      <c r="Z29" s="406"/>
      <c r="AA29" s="971"/>
      <c r="AB29" s="64"/>
    </row>
    <row r="30" spans="1:29" x14ac:dyDescent="0.25">
      <c r="B30" s="383"/>
      <c r="C30" s="521"/>
      <c r="D30" s="483"/>
      <c r="E30" s="114"/>
      <c r="F30" s="6"/>
      <c r="L30" s="383"/>
      <c r="M30" s="521"/>
      <c r="N30" s="483"/>
      <c r="O30" s="114"/>
      <c r="P30" s="6"/>
      <c r="V30" s="383"/>
      <c r="W30" s="521"/>
      <c r="X30" s="483"/>
      <c r="Y30" s="114"/>
      <c r="Z30" s="6"/>
    </row>
    <row r="31" spans="1:29" ht="15.75" thickBot="1" x14ac:dyDescent="0.3">
      <c r="B31" s="449"/>
      <c r="C31" s="522"/>
      <c r="D31" s="519"/>
      <c r="E31" s="4"/>
      <c r="F31" s="75"/>
      <c r="G31" s="24"/>
      <c r="L31" s="449"/>
      <c r="M31" s="522"/>
      <c r="N31" s="519"/>
      <c r="O31" s="4"/>
      <c r="P31" s="75"/>
      <c r="Q31" s="24"/>
      <c r="V31" s="449"/>
      <c r="W31" s="522"/>
      <c r="X31" s="519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40</v>
      </c>
      <c r="D32" s="102">
        <f>SUM(C8:C31)</f>
        <v>40</v>
      </c>
      <c r="E32" s="74"/>
      <c r="F32" s="102">
        <f>SUM(F8:F31)</f>
        <v>977.6400000000001</v>
      </c>
      <c r="G32" s="74"/>
      <c r="H32" s="74"/>
      <c r="K32" s="74"/>
      <c r="L32" s="74"/>
      <c r="M32" s="123">
        <f>SUM(M8:M31)</f>
        <v>72</v>
      </c>
      <c r="N32" s="102">
        <f>SUM(M8:M31)</f>
        <v>72</v>
      </c>
      <c r="O32" s="74"/>
      <c r="P32" s="102">
        <f>SUM(P8:P31)</f>
        <v>1695.23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62" t="s">
        <v>21</v>
      </c>
      <c r="E33" s="963"/>
      <c r="F33" s="137">
        <f>E5-D32</f>
        <v>937.64</v>
      </c>
      <c r="G33" s="74"/>
      <c r="H33" s="74"/>
      <c r="K33" s="74"/>
      <c r="L33" s="74"/>
      <c r="M33" s="74"/>
      <c r="N33" s="1012" t="s">
        <v>21</v>
      </c>
      <c r="O33" s="1013"/>
      <c r="P33" s="137">
        <f>O5-N32</f>
        <v>1886.43</v>
      </c>
      <c r="Q33" s="74"/>
      <c r="R33" s="74"/>
      <c r="U33" s="74"/>
      <c r="V33" s="74"/>
      <c r="W33" s="74"/>
      <c r="X33" s="1141" t="s">
        <v>21</v>
      </c>
      <c r="Y33" s="1142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64" t="s">
        <v>4</v>
      </c>
      <c r="E34" s="965"/>
      <c r="F34" s="49">
        <f>F4+F5-C32</f>
        <v>0</v>
      </c>
      <c r="G34" s="74"/>
      <c r="H34" s="74"/>
      <c r="K34" s="74"/>
      <c r="L34" s="74"/>
      <c r="M34" s="74"/>
      <c r="N34" s="1014" t="s">
        <v>4</v>
      </c>
      <c r="O34" s="1015"/>
      <c r="P34" s="49">
        <f>P4+P5-M32</f>
        <v>23</v>
      </c>
      <c r="Q34" s="74"/>
      <c r="R34" s="74"/>
      <c r="U34" s="74"/>
      <c r="V34" s="74"/>
      <c r="W34" s="74"/>
      <c r="X34" s="1143" t="s">
        <v>4</v>
      </c>
      <c r="Y34" s="1144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74" t="s">
        <v>88</v>
      </c>
      <c r="C4" s="99"/>
      <c r="D4" s="131"/>
      <c r="E4" s="85"/>
      <c r="F4" s="72"/>
      <c r="G4" s="224"/>
    </row>
    <row r="5" spans="1:9" x14ac:dyDescent="0.25">
      <c r="A5" s="1667"/>
      <c r="B5" s="177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67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39">
        <f>F4+F5+F6-C8</f>
        <v>0</v>
      </c>
      <c r="C8" s="624"/>
      <c r="D8" s="562"/>
      <c r="E8" s="580"/>
      <c r="F8" s="562">
        <f t="shared" ref="F8:F28" si="0">D8</f>
        <v>0</v>
      </c>
      <c r="G8" s="693"/>
      <c r="H8" s="564"/>
      <c r="I8" s="560">
        <f>E4+E5+E6-D8</f>
        <v>0</v>
      </c>
    </row>
    <row r="9" spans="1:9" x14ac:dyDescent="0.25">
      <c r="A9" s="74"/>
      <c r="B9" s="942">
        <f>B8-C9</f>
        <v>0</v>
      </c>
      <c r="C9" s="624"/>
      <c r="D9" s="562"/>
      <c r="E9" s="580"/>
      <c r="F9" s="562">
        <f t="shared" si="0"/>
        <v>0</v>
      </c>
      <c r="G9" s="693"/>
      <c r="H9" s="564"/>
      <c r="I9" s="560">
        <f>I8-D9</f>
        <v>0</v>
      </c>
    </row>
    <row r="10" spans="1:9" x14ac:dyDescent="0.25">
      <c r="A10" s="74"/>
      <c r="B10" s="942">
        <f t="shared" ref="B10:B26" si="1">B9-C10</f>
        <v>0</v>
      </c>
      <c r="C10" s="624"/>
      <c r="D10" s="562"/>
      <c r="E10" s="580"/>
      <c r="F10" s="562">
        <f t="shared" si="0"/>
        <v>0</v>
      </c>
      <c r="G10" s="576"/>
      <c r="H10" s="943"/>
      <c r="I10" s="560">
        <f t="shared" ref="I10:I28" si="2">I9-D10</f>
        <v>0</v>
      </c>
    </row>
    <row r="11" spans="1:9" x14ac:dyDescent="0.25">
      <c r="A11" s="54"/>
      <c r="B11" s="942">
        <f t="shared" si="1"/>
        <v>0</v>
      </c>
      <c r="C11" s="624"/>
      <c r="D11" s="562"/>
      <c r="E11" s="580"/>
      <c r="F11" s="562">
        <f t="shared" si="0"/>
        <v>0</v>
      </c>
      <c r="G11" s="576"/>
      <c r="H11" s="564"/>
      <c r="I11" s="560">
        <f t="shared" si="2"/>
        <v>0</v>
      </c>
    </row>
    <row r="12" spans="1:9" x14ac:dyDescent="0.25">
      <c r="A12" s="74"/>
      <c r="B12" s="942">
        <f t="shared" si="1"/>
        <v>0</v>
      </c>
      <c r="C12" s="624"/>
      <c r="D12" s="562"/>
      <c r="E12" s="580"/>
      <c r="F12" s="562">
        <f t="shared" si="0"/>
        <v>0</v>
      </c>
      <c r="G12" s="576"/>
      <c r="H12" s="564"/>
      <c r="I12" s="560">
        <f t="shared" si="2"/>
        <v>0</v>
      </c>
    </row>
    <row r="13" spans="1:9" x14ac:dyDescent="0.25">
      <c r="A13" s="74"/>
      <c r="B13" s="942">
        <f t="shared" si="1"/>
        <v>0</v>
      </c>
      <c r="C13" s="624"/>
      <c r="D13" s="562"/>
      <c r="E13" s="580"/>
      <c r="F13" s="562">
        <f t="shared" si="0"/>
        <v>0</v>
      </c>
      <c r="G13" s="576"/>
      <c r="H13" s="564"/>
      <c r="I13" s="560">
        <f t="shared" si="2"/>
        <v>0</v>
      </c>
    </row>
    <row r="14" spans="1:9" x14ac:dyDescent="0.25">
      <c r="B14" s="942">
        <f t="shared" si="1"/>
        <v>0</v>
      </c>
      <c r="C14" s="624"/>
      <c r="D14" s="562"/>
      <c r="E14" s="580"/>
      <c r="F14" s="562">
        <f t="shared" si="0"/>
        <v>0</v>
      </c>
      <c r="G14" s="576"/>
      <c r="H14" s="564"/>
      <c r="I14" s="560">
        <f t="shared" si="2"/>
        <v>0</v>
      </c>
    </row>
    <row r="15" spans="1:9" x14ac:dyDescent="0.25">
      <c r="B15" s="942">
        <f t="shared" si="1"/>
        <v>0</v>
      </c>
      <c r="C15" s="624"/>
      <c r="D15" s="562"/>
      <c r="E15" s="580"/>
      <c r="F15" s="562">
        <f t="shared" si="0"/>
        <v>0</v>
      </c>
      <c r="G15" s="576"/>
      <c r="H15" s="564"/>
      <c r="I15" s="560">
        <f t="shared" si="2"/>
        <v>0</v>
      </c>
    </row>
    <row r="16" spans="1:9" x14ac:dyDescent="0.25">
      <c r="B16" s="942">
        <f t="shared" si="1"/>
        <v>0</v>
      </c>
      <c r="C16" s="624"/>
      <c r="D16" s="562"/>
      <c r="E16" s="580"/>
      <c r="F16" s="562">
        <f t="shared" si="0"/>
        <v>0</v>
      </c>
      <c r="G16" s="576"/>
      <c r="H16" s="564"/>
      <c r="I16" s="560">
        <f t="shared" si="2"/>
        <v>0</v>
      </c>
    </row>
    <row r="17" spans="1:9" x14ac:dyDescent="0.25">
      <c r="B17" s="942">
        <f t="shared" si="1"/>
        <v>0</v>
      </c>
      <c r="C17" s="624"/>
      <c r="D17" s="565"/>
      <c r="E17" s="580"/>
      <c r="F17" s="562">
        <f t="shared" si="0"/>
        <v>0</v>
      </c>
      <c r="G17" s="576"/>
      <c r="H17" s="564"/>
      <c r="I17" s="560">
        <f t="shared" si="2"/>
        <v>0</v>
      </c>
    </row>
    <row r="18" spans="1:9" x14ac:dyDescent="0.25">
      <c r="B18" s="942">
        <f t="shared" si="1"/>
        <v>0</v>
      </c>
      <c r="C18" s="624"/>
      <c r="D18" s="562"/>
      <c r="E18" s="580"/>
      <c r="F18" s="562">
        <f t="shared" si="0"/>
        <v>0</v>
      </c>
      <c r="G18" s="576"/>
      <c r="H18" s="564"/>
      <c r="I18" s="560">
        <f t="shared" si="2"/>
        <v>0</v>
      </c>
    </row>
    <row r="19" spans="1:9" x14ac:dyDescent="0.25">
      <c r="B19" s="942">
        <f t="shared" si="1"/>
        <v>0</v>
      </c>
      <c r="C19" s="624"/>
      <c r="D19" s="562"/>
      <c r="E19" s="580"/>
      <c r="F19" s="562">
        <f t="shared" si="0"/>
        <v>0</v>
      </c>
      <c r="G19" s="576"/>
      <c r="H19" s="564"/>
      <c r="I19" s="560">
        <f t="shared" si="2"/>
        <v>0</v>
      </c>
    </row>
    <row r="20" spans="1:9" x14ac:dyDescent="0.25">
      <c r="B20" s="942">
        <f t="shared" si="1"/>
        <v>0</v>
      </c>
      <c r="C20" s="624"/>
      <c r="D20" s="562"/>
      <c r="E20" s="580"/>
      <c r="F20" s="562">
        <f t="shared" si="0"/>
        <v>0</v>
      </c>
      <c r="G20" s="576"/>
      <c r="H20" s="564"/>
      <c r="I20" s="560">
        <f t="shared" si="2"/>
        <v>0</v>
      </c>
    </row>
    <row r="21" spans="1:9" x14ac:dyDescent="0.25">
      <c r="B21" s="942">
        <f t="shared" si="1"/>
        <v>0</v>
      </c>
      <c r="C21" s="624"/>
      <c r="D21" s="562"/>
      <c r="E21" s="580"/>
      <c r="F21" s="562">
        <f t="shared" si="0"/>
        <v>0</v>
      </c>
      <c r="G21" s="576"/>
      <c r="H21" s="564"/>
      <c r="I21" s="560">
        <f t="shared" si="2"/>
        <v>0</v>
      </c>
    </row>
    <row r="22" spans="1:9" x14ac:dyDescent="0.25">
      <c r="B22" s="942">
        <f t="shared" si="1"/>
        <v>0</v>
      </c>
      <c r="C22" s="624"/>
      <c r="D22" s="562"/>
      <c r="E22" s="580"/>
      <c r="F22" s="562">
        <f t="shared" si="0"/>
        <v>0</v>
      </c>
      <c r="G22" s="576"/>
      <c r="H22" s="564"/>
      <c r="I22" s="560">
        <f t="shared" si="2"/>
        <v>0</v>
      </c>
    </row>
    <row r="23" spans="1:9" x14ac:dyDescent="0.25">
      <c r="B23" s="942">
        <f t="shared" si="1"/>
        <v>0</v>
      </c>
      <c r="C23" s="624"/>
      <c r="D23" s="562"/>
      <c r="E23" s="580"/>
      <c r="F23" s="562">
        <f t="shared" si="0"/>
        <v>0</v>
      </c>
      <c r="G23" s="576"/>
      <c r="H23" s="564"/>
      <c r="I23" s="560">
        <f t="shared" si="2"/>
        <v>0</v>
      </c>
    </row>
    <row r="24" spans="1:9" x14ac:dyDescent="0.25">
      <c r="B24" s="942">
        <f t="shared" si="1"/>
        <v>0</v>
      </c>
      <c r="C24" s="624"/>
      <c r="D24" s="562"/>
      <c r="E24" s="580"/>
      <c r="F24" s="562">
        <f t="shared" si="0"/>
        <v>0</v>
      </c>
      <c r="G24" s="693"/>
      <c r="H24" s="564"/>
      <c r="I24" s="560">
        <f t="shared" si="2"/>
        <v>0</v>
      </c>
    </row>
    <row r="25" spans="1:9" x14ac:dyDescent="0.25">
      <c r="B25" s="942">
        <f t="shared" si="1"/>
        <v>0</v>
      </c>
      <c r="C25" s="624"/>
      <c r="D25" s="562"/>
      <c r="E25" s="580"/>
      <c r="F25" s="562">
        <f t="shared" si="0"/>
        <v>0</v>
      </c>
      <c r="G25" s="693"/>
      <c r="H25" s="564"/>
      <c r="I25" s="560">
        <f t="shared" si="2"/>
        <v>0</v>
      </c>
    </row>
    <row r="26" spans="1:9" x14ac:dyDescent="0.25">
      <c r="B26" s="942">
        <f t="shared" si="1"/>
        <v>0</v>
      </c>
      <c r="C26" s="624"/>
      <c r="D26" s="562"/>
      <c r="E26" s="580"/>
      <c r="F26" s="562">
        <f t="shared" si="0"/>
        <v>0</v>
      </c>
      <c r="G26" s="693"/>
      <c r="H26" s="564"/>
      <c r="I26" s="560">
        <f t="shared" si="2"/>
        <v>0</v>
      </c>
    </row>
    <row r="27" spans="1:9" x14ac:dyDescent="0.25">
      <c r="B27" s="942"/>
      <c r="C27" s="624"/>
      <c r="D27" s="562"/>
      <c r="E27" s="580"/>
      <c r="F27" s="562">
        <f t="shared" si="0"/>
        <v>0</v>
      </c>
      <c r="G27" s="693"/>
      <c r="H27" s="944"/>
      <c r="I27" s="560">
        <f t="shared" si="2"/>
        <v>0</v>
      </c>
    </row>
    <row r="28" spans="1:9" x14ac:dyDescent="0.25">
      <c r="B28" s="840"/>
      <c r="C28" s="624"/>
      <c r="D28" s="562"/>
      <c r="E28" s="580"/>
      <c r="F28" s="562">
        <f t="shared" si="0"/>
        <v>0</v>
      </c>
      <c r="G28" s="693"/>
      <c r="H28" s="944"/>
      <c r="I28" s="560">
        <f t="shared" si="2"/>
        <v>0</v>
      </c>
    </row>
    <row r="29" spans="1:9" x14ac:dyDescent="0.25">
      <c r="B29" s="840"/>
      <c r="C29" s="624"/>
      <c r="D29" s="562"/>
      <c r="E29" s="580"/>
      <c r="F29" s="841"/>
      <c r="G29" s="945"/>
      <c r="H29" s="944"/>
      <c r="I29" s="594"/>
    </row>
    <row r="30" spans="1:9" x14ac:dyDescent="0.25">
      <c r="B30" s="2"/>
      <c r="C30" s="15"/>
      <c r="D30" s="6"/>
      <c r="E30" s="621"/>
      <c r="F30" s="6"/>
    </row>
    <row r="31" spans="1:9" ht="15.75" thickBot="1" x14ac:dyDescent="0.3">
      <c r="B31" s="73"/>
      <c r="C31" s="86"/>
      <c r="D31" s="75"/>
      <c r="E31" s="62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G33"/>
  <sheetViews>
    <sheetView topLeftCell="U1" workbookViewId="0">
      <selection activeCell="W20" sqref="W20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9.7109375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3" ht="45.75" x14ac:dyDescent="0.65">
      <c r="A1" s="1663" t="s">
        <v>327</v>
      </c>
      <c r="B1" s="1663"/>
      <c r="C1" s="1663"/>
      <c r="D1" s="1663"/>
      <c r="E1" s="1663"/>
      <c r="F1" s="1663"/>
      <c r="G1" s="1663"/>
      <c r="H1" s="96">
        <v>1</v>
      </c>
      <c r="L1" s="1663" t="str">
        <f>A1</f>
        <v>INVENTARIO DEL MES DE JUNIO   2023</v>
      </c>
      <c r="M1" s="1663"/>
      <c r="N1" s="1663"/>
      <c r="O1" s="1663"/>
      <c r="P1" s="1663"/>
      <c r="Q1" s="1663"/>
      <c r="R1" s="1663"/>
      <c r="S1" s="96">
        <v>2</v>
      </c>
      <c r="W1" s="1668" t="s">
        <v>444</v>
      </c>
      <c r="X1" s="1668"/>
      <c r="Y1" s="1668"/>
      <c r="Z1" s="1668"/>
      <c r="AA1" s="1668"/>
      <c r="AB1" s="1668"/>
      <c r="AC1" s="1668"/>
      <c r="AD1" s="96">
        <v>3</v>
      </c>
    </row>
    <row r="2" spans="1:33" ht="15.75" thickBot="1" x14ac:dyDescent="0.3"/>
    <row r="3" spans="1:33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  <c r="W3" s="8" t="s">
        <v>0</v>
      </c>
      <c r="X3" s="9" t="s">
        <v>1</v>
      </c>
      <c r="Y3" s="9"/>
      <c r="Z3" s="108"/>
      <c r="AA3" s="9"/>
      <c r="AB3" s="111"/>
      <c r="AC3" s="46" t="s">
        <v>12</v>
      </c>
      <c r="AD3" s="35" t="s">
        <v>11</v>
      </c>
    </row>
    <row r="4" spans="1:33" ht="17.25" customHeight="1" thickTop="1" thickBot="1" x14ac:dyDescent="0.3">
      <c r="A4" s="74"/>
      <c r="B4" s="140"/>
      <c r="C4" s="212"/>
      <c r="D4" s="114"/>
      <c r="E4" s="225">
        <v>82.57</v>
      </c>
      <c r="F4" s="226">
        <v>4</v>
      </c>
      <c r="L4" s="74"/>
      <c r="M4" s="140"/>
      <c r="N4" s="212"/>
      <c r="O4" s="114"/>
      <c r="P4" s="225"/>
      <c r="Q4" s="226"/>
      <c r="W4" s="74"/>
      <c r="X4" s="140"/>
      <c r="Y4" s="212"/>
      <c r="Z4" s="114"/>
      <c r="AA4" s="225">
        <v>32.69</v>
      </c>
      <c r="AB4" s="226">
        <v>1</v>
      </c>
    </row>
    <row r="5" spans="1:33" ht="15.75" customHeight="1" thickBot="1" x14ac:dyDescent="0.3">
      <c r="A5" s="1756" t="s">
        <v>98</v>
      </c>
      <c r="B5" s="1776" t="s">
        <v>128</v>
      </c>
      <c r="C5" s="488">
        <v>118</v>
      </c>
      <c r="D5" s="114">
        <v>45045</v>
      </c>
      <c r="E5" s="140">
        <v>422.62</v>
      </c>
      <c r="F5" s="227">
        <v>13</v>
      </c>
      <c r="G5" s="143">
        <f>F30</f>
        <v>540.91000000000008</v>
      </c>
      <c r="H5" s="57">
        <f>E4+E5+E6-G5</f>
        <v>0</v>
      </c>
      <c r="L5" s="1756" t="s">
        <v>98</v>
      </c>
      <c r="M5" s="1776" t="s">
        <v>128</v>
      </c>
      <c r="N5" s="488">
        <v>107</v>
      </c>
      <c r="O5" s="114">
        <v>45099</v>
      </c>
      <c r="P5" s="140">
        <v>312.56</v>
      </c>
      <c r="Q5" s="227">
        <v>12</v>
      </c>
      <c r="R5" s="143">
        <f>Q30</f>
        <v>312.56</v>
      </c>
      <c r="S5" s="57">
        <f>P4+P5+P6-R5</f>
        <v>0</v>
      </c>
      <c r="W5" s="1756" t="s">
        <v>98</v>
      </c>
      <c r="X5" s="1776" t="s">
        <v>461</v>
      </c>
      <c r="Y5" s="488">
        <v>109</v>
      </c>
      <c r="Z5" s="114">
        <v>45131</v>
      </c>
      <c r="AA5" s="140">
        <v>239.84</v>
      </c>
      <c r="AB5" s="227">
        <v>10</v>
      </c>
      <c r="AC5" s="143">
        <f>AB30</f>
        <v>484.25</v>
      </c>
      <c r="AD5" s="57">
        <f>AA4+AA5+AA6-AC5</f>
        <v>0</v>
      </c>
    </row>
    <row r="6" spans="1:33" ht="17.25" thickTop="1" thickBot="1" x14ac:dyDescent="0.3">
      <c r="A6" s="1757"/>
      <c r="B6" s="1777"/>
      <c r="C6" s="212"/>
      <c r="D6" s="114"/>
      <c r="E6" s="140">
        <v>35.72</v>
      </c>
      <c r="F6" s="227">
        <v>1</v>
      </c>
      <c r="I6" s="1741" t="s">
        <v>3</v>
      </c>
      <c r="J6" s="1736" t="s">
        <v>4</v>
      </c>
      <c r="L6" s="1757"/>
      <c r="M6" s="1777"/>
      <c r="N6" s="212"/>
      <c r="O6" s="114"/>
      <c r="P6" s="140"/>
      <c r="Q6" s="227"/>
      <c r="T6" s="1741" t="s">
        <v>3</v>
      </c>
      <c r="U6" s="1736" t="s">
        <v>4</v>
      </c>
      <c r="W6" s="1757"/>
      <c r="X6" s="1777"/>
      <c r="Y6" s="212"/>
      <c r="Z6" s="114"/>
      <c r="AA6" s="140">
        <v>211.72</v>
      </c>
      <c r="AB6" s="227">
        <v>8</v>
      </c>
      <c r="AE6" s="1741" t="s">
        <v>3</v>
      </c>
      <c r="AF6" s="1736" t="s">
        <v>4</v>
      </c>
    </row>
    <row r="7" spans="1:33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42"/>
      <c r="J7" s="1737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42"/>
      <c r="U7" s="1737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742"/>
      <c r="AF7" s="1737"/>
    </row>
    <row r="8" spans="1:33" ht="15.75" thickTop="1" x14ac:dyDescent="0.25">
      <c r="A8" s="79" t="s">
        <v>32</v>
      </c>
      <c r="B8" s="82"/>
      <c r="C8" s="15">
        <v>5</v>
      </c>
      <c r="D8" s="168">
        <v>118.29</v>
      </c>
      <c r="E8" s="232">
        <v>45022</v>
      </c>
      <c r="F8" s="565">
        <f t="shared" ref="F8:F13" si="0">D8</f>
        <v>118.29</v>
      </c>
      <c r="G8" s="563" t="s">
        <v>129</v>
      </c>
      <c r="H8" s="577">
        <v>107</v>
      </c>
      <c r="I8" s="637">
        <f>E5+E4-F8+E6</f>
        <v>422.62</v>
      </c>
      <c r="J8" s="638">
        <f>F4+F5+F6-C8</f>
        <v>13</v>
      </c>
      <c r="L8" s="79" t="s">
        <v>32</v>
      </c>
      <c r="M8" s="82"/>
      <c r="N8" s="15">
        <v>3</v>
      </c>
      <c r="O8" s="168">
        <v>78.05</v>
      </c>
      <c r="P8" s="232">
        <v>45122</v>
      </c>
      <c r="Q8" s="565">
        <f t="shared" ref="Q8:Q13" si="1">O8</f>
        <v>78.05</v>
      </c>
      <c r="R8" s="563" t="s">
        <v>614</v>
      </c>
      <c r="S8" s="577">
        <v>120</v>
      </c>
      <c r="T8" s="637">
        <f>P5+P4-Q8+P6</f>
        <v>234.51</v>
      </c>
      <c r="U8" s="638">
        <f>Q4+Q5+Q6-N8</f>
        <v>9</v>
      </c>
      <c r="W8" s="79" t="s">
        <v>32</v>
      </c>
      <c r="X8" s="82"/>
      <c r="Y8" s="15">
        <v>2</v>
      </c>
      <c r="Z8" s="168">
        <v>57.7</v>
      </c>
      <c r="AA8" s="232">
        <v>45110</v>
      </c>
      <c r="AB8" s="565">
        <f t="shared" ref="AB8:AB13" si="2">Z8</f>
        <v>57.7</v>
      </c>
      <c r="AC8" s="563" t="s">
        <v>497</v>
      </c>
      <c r="AD8" s="577">
        <v>120</v>
      </c>
      <c r="AE8" s="713">
        <f>AA5+AA4-AB8+AA6</f>
        <v>426.54999999999995</v>
      </c>
      <c r="AF8" s="723">
        <f>AB4+AB5+AB6-Y8</f>
        <v>17</v>
      </c>
      <c r="AG8" s="594"/>
    </row>
    <row r="9" spans="1:33" x14ac:dyDescent="0.25">
      <c r="A9" s="185"/>
      <c r="B9" s="82"/>
      <c r="C9" s="15">
        <v>7</v>
      </c>
      <c r="D9" s="1048">
        <v>235.02</v>
      </c>
      <c r="E9" s="978">
        <v>45027</v>
      </c>
      <c r="F9" s="802">
        <f t="shared" si="0"/>
        <v>235.02</v>
      </c>
      <c r="G9" s="803" t="s">
        <v>158</v>
      </c>
      <c r="H9" s="1049">
        <v>120</v>
      </c>
      <c r="I9" s="713">
        <f>I8-F9</f>
        <v>187.6</v>
      </c>
      <c r="J9" s="723">
        <f>J8-C9</f>
        <v>6</v>
      </c>
      <c r="L9" s="185"/>
      <c r="M9" s="82"/>
      <c r="N9" s="15">
        <v>1</v>
      </c>
      <c r="O9" s="168">
        <v>22.79</v>
      </c>
      <c r="P9" s="232">
        <v>45135</v>
      </c>
      <c r="Q9" s="565">
        <f t="shared" si="1"/>
        <v>22.79</v>
      </c>
      <c r="R9" s="563" t="s">
        <v>718</v>
      </c>
      <c r="S9" s="577">
        <v>111</v>
      </c>
      <c r="T9" s="713">
        <f>T8-Q9</f>
        <v>211.72</v>
      </c>
      <c r="U9" s="723">
        <f>U8-N9</f>
        <v>8</v>
      </c>
      <c r="W9" s="185"/>
      <c r="X9" s="82"/>
      <c r="Y9" s="15">
        <v>4</v>
      </c>
      <c r="Z9" s="168">
        <v>105.25</v>
      </c>
      <c r="AA9" s="232">
        <v>45117</v>
      </c>
      <c r="AB9" s="565">
        <f t="shared" si="2"/>
        <v>105.25</v>
      </c>
      <c r="AC9" s="563" t="s">
        <v>558</v>
      </c>
      <c r="AD9" s="577">
        <v>120</v>
      </c>
      <c r="AE9" s="713">
        <f>AE8-AB9</f>
        <v>321.29999999999995</v>
      </c>
      <c r="AF9" s="723">
        <f>AF8-Y9</f>
        <v>13</v>
      </c>
      <c r="AG9" s="594"/>
    </row>
    <row r="10" spans="1:33" x14ac:dyDescent="0.25">
      <c r="A10" s="174"/>
      <c r="B10" s="82"/>
      <c r="C10" s="15">
        <v>1</v>
      </c>
      <c r="D10" s="925">
        <v>32.6</v>
      </c>
      <c r="E10" s="1064">
        <v>45075</v>
      </c>
      <c r="F10" s="708">
        <f t="shared" si="0"/>
        <v>32.6</v>
      </c>
      <c r="G10" s="709" t="s">
        <v>184</v>
      </c>
      <c r="H10" s="1065">
        <v>120</v>
      </c>
      <c r="I10" s="713">
        <f t="shared" ref="I10:I28" si="3">I9-F10</f>
        <v>155</v>
      </c>
      <c r="J10" s="723">
        <f t="shared" ref="J10:J28" si="4">J9-C10</f>
        <v>5</v>
      </c>
      <c r="L10" s="174"/>
      <c r="M10" s="82"/>
      <c r="N10" s="15"/>
      <c r="O10" s="168">
        <v>0</v>
      </c>
      <c r="P10" s="232"/>
      <c r="Q10" s="565">
        <f t="shared" si="1"/>
        <v>0</v>
      </c>
      <c r="R10" s="563"/>
      <c r="S10" s="577"/>
      <c r="T10" s="713">
        <f t="shared" ref="T10:T28" si="5">T9-Q10</f>
        <v>211.72</v>
      </c>
      <c r="U10" s="723">
        <f t="shared" ref="U10:U28" si="6">U9-N10</f>
        <v>8</v>
      </c>
      <c r="W10" s="174"/>
      <c r="X10" s="82"/>
      <c r="Y10" s="15">
        <v>4</v>
      </c>
      <c r="Z10" s="168">
        <v>104.25</v>
      </c>
      <c r="AA10" s="232">
        <v>45119</v>
      </c>
      <c r="AB10" s="565">
        <f t="shared" si="2"/>
        <v>104.25</v>
      </c>
      <c r="AC10" s="563" t="s">
        <v>581</v>
      </c>
      <c r="AD10" s="577">
        <v>120</v>
      </c>
      <c r="AE10" s="713">
        <f t="shared" ref="AE10:AE28" si="7">AE9-AB10</f>
        <v>217.04999999999995</v>
      </c>
      <c r="AF10" s="723">
        <f t="shared" ref="AF10:AF28" si="8">AF9-Y10</f>
        <v>9</v>
      </c>
    </row>
    <row r="11" spans="1:33" x14ac:dyDescent="0.25">
      <c r="A11" s="81" t="s">
        <v>33</v>
      </c>
      <c r="B11" s="82"/>
      <c r="C11" s="15">
        <v>1</v>
      </c>
      <c r="D11" s="925">
        <v>31.57</v>
      </c>
      <c r="E11" s="1064">
        <v>45078</v>
      </c>
      <c r="F11" s="708">
        <f t="shared" si="0"/>
        <v>31.57</v>
      </c>
      <c r="G11" s="709" t="s">
        <v>192</v>
      </c>
      <c r="H11" s="1065">
        <v>120</v>
      </c>
      <c r="I11" s="637">
        <f t="shared" si="3"/>
        <v>123.43</v>
      </c>
      <c r="J11" s="638">
        <f t="shared" si="4"/>
        <v>4</v>
      </c>
      <c r="L11" s="81" t="s">
        <v>33</v>
      </c>
      <c r="M11" s="82"/>
      <c r="N11" s="15"/>
      <c r="O11" s="168">
        <v>0</v>
      </c>
      <c r="P11" s="232"/>
      <c r="Q11" s="565">
        <f t="shared" si="1"/>
        <v>0</v>
      </c>
      <c r="R11" s="563"/>
      <c r="S11" s="577"/>
      <c r="T11" s="713">
        <f t="shared" si="5"/>
        <v>211.72</v>
      </c>
      <c r="U11" s="723">
        <f t="shared" si="6"/>
        <v>8</v>
      </c>
      <c r="W11" s="81" t="s">
        <v>33</v>
      </c>
      <c r="X11" s="82"/>
      <c r="Y11" s="15">
        <v>9</v>
      </c>
      <c r="Z11" s="168">
        <v>217.05</v>
      </c>
      <c r="AA11" s="232">
        <v>45135</v>
      </c>
      <c r="AB11" s="565">
        <f t="shared" si="2"/>
        <v>217.05</v>
      </c>
      <c r="AC11" s="563" t="s">
        <v>721</v>
      </c>
      <c r="AD11" s="577">
        <v>111</v>
      </c>
      <c r="AE11" s="713">
        <f t="shared" si="7"/>
        <v>0</v>
      </c>
      <c r="AF11" s="723">
        <f t="shared" si="8"/>
        <v>0</v>
      </c>
    </row>
    <row r="12" spans="1:33" x14ac:dyDescent="0.25">
      <c r="A12" s="72"/>
      <c r="B12" s="82"/>
      <c r="C12" s="15"/>
      <c r="D12" s="925">
        <f t="shared" ref="D12:D28" si="9">C12*B12</f>
        <v>0</v>
      </c>
      <c r="E12" s="1064"/>
      <c r="F12" s="708">
        <f t="shared" si="0"/>
        <v>0</v>
      </c>
      <c r="G12" s="709"/>
      <c r="H12" s="1065"/>
      <c r="I12" s="713">
        <f t="shared" si="3"/>
        <v>123.43</v>
      </c>
      <c r="J12" s="723">
        <f t="shared" si="4"/>
        <v>4</v>
      </c>
      <c r="L12" s="1146"/>
      <c r="M12" s="82"/>
      <c r="N12" s="15">
        <v>8</v>
      </c>
      <c r="O12" s="168">
        <v>0</v>
      </c>
      <c r="P12" s="232"/>
      <c r="Q12" s="1518">
        <v>211.72</v>
      </c>
      <c r="R12" s="1519"/>
      <c r="S12" s="1530"/>
      <c r="T12" s="1498">
        <f t="shared" si="5"/>
        <v>0</v>
      </c>
      <c r="U12" s="1499">
        <f t="shared" si="6"/>
        <v>0</v>
      </c>
      <c r="W12" s="1425"/>
      <c r="X12" s="82"/>
      <c r="Y12" s="15"/>
      <c r="Z12" s="168">
        <v>0</v>
      </c>
      <c r="AA12" s="232"/>
      <c r="AB12" s="565">
        <f t="shared" si="2"/>
        <v>0</v>
      </c>
      <c r="AC12" s="563"/>
      <c r="AD12" s="577"/>
      <c r="AE12" s="713">
        <f t="shared" si="7"/>
        <v>0</v>
      </c>
      <c r="AF12" s="723">
        <f t="shared" si="8"/>
        <v>0</v>
      </c>
    </row>
    <row r="13" spans="1:33" x14ac:dyDescent="0.25">
      <c r="A13" s="72"/>
      <c r="B13" s="82"/>
      <c r="C13" s="15"/>
      <c r="D13" s="1088">
        <f t="shared" si="9"/>
        <v>0</v>
      </c>
      <c r="E13" s="1101"/>
      <c r="F13" s="692">
        <f t="shared" si="0"/>
        <v>0</v>
      </c>
      <c r="G13" s="1102"/>
      <c r="H13" s="1103"/>
      <c r="I13" s="713">
        <f t="shared" si="3"/>
        <v>123.43</v>
      </c>
      <c r="J13" s="723">
        <f t="shared" si="4"/>
        <v>4</v>
      </c>
      <c r="L13" s="1146"/>
      <c r="M13" s="82"/>
      <c r="N13" s="15"/>
      <c r="O13" s="168">
        <v>0</v>
      </c>
      <c r="P13" s="231"/>
      <c r="Q13" s="1518">
        <f t="shared" si="1"/>
        <v>0</v>
      </c>
      <c r="R13" s="1519"/>
      <c r="S13" s="1530"/>
      <c r="T13" s="1498">
        <f t="shared" si="5"/>
        <v>0</v>
      </c>
      <c r="U13" s="1499">
        <f t="shared" si="6"/>
        <v>0</v>
      </c>
      <c r="W13" s="1425"/>
      <c r="X13" s="82"/>
      <c r="Y13" s="15"/>
      <c r="Z13" s="168">
        <v>0</v>
      </c>
      <c r="AA13" s="231"/>
      <c r="AB13" s="1518">
        <f t="shared" si="2"/>
        <v>0</v>
      </c>
      <c r="AC13" s="1519"/>
      <c r="AD13" s="1530"/>
      <c r="AE13" s="1498">
        <f t="shared" si="7"/>
        <v>0</v>
      </c>
      <c r="AF13" s="1499">
        <f t="shared" si="8"/>
        <v>0</v>
      </c>
    </row>
    <row r="14" spans="1:33" x14ac:dyDescent="0.25">
      <c r="B14" s="82"/>
      <c r="C14" s="15">
        <v>2</v>
      </c>
      <c r="D14" s="1088">
        <v>58.38</v>
      </c>
      <c r="E14" s="1101">
        <v>45094</v>
      </c>
      <c r="F14" s="692">
        <f>D14</f>
        <v>58.38</v>
      </c>
      <c r="G14" s="1102" t="s">
        <v>238</v>
      </c>
      <c r="H14" s="1103">
        <v>120</v>
      </c>
      <c r="I14" s="713">
        <f t="shared" si="3"/>
        <v>65.050000000000011</v>
      </c>
      <c r="J14" s="723">
        <f t="shared" si="4"/>
        <v>2</v>
      </c>
      <c r="M14" s="82"/>
      <c r="N14" s="15"/>
      <c r="O14" s="168">
        <v>0</v>
      </c>
      <c r="P14" s="231"/>
      <c r="Q14" s="1518">
        <f>O14</f>
        <v>0</v>
      </c>
      <c r="R14" s="1519"/>
      <c r="S14" s="1530"/>
      <c r="T14" s="1498">
        <f t="shared" si="5"/>
        <v>0</v>
      </c>
      <c r="U14" s="1499">
        <f t="shared" si="6"/>
        <v>0</v>
      </c>
      <c r="X14" s="82"/>
      <c r="Y14" s="15"/>
      <c r="Z14" s="168">
        <v>0</v>
      </c>
      <c r="AA14" s="231"/>
      <c r="AB14" s="1518">
        <f>Z14</f>
        <v>0</v>
      </c>
      <c r="AC14" s="1519"/>
      <c r="AD14" s="1530"/>
      <c r="AE14" s="1498">
        <f t="shared" si="7"/>
        <v>0</v>
      </c>
      <c r="AF14" s="1499">
        <f t="shared" si="8"/>
        <v>0</v>
      </c>
    </row>
    <row r="15" spans="1:33" x14ac:dyDescent="0.25">
      <c r="B15" s="82"/>
      <c r="C15" s="15">
        <v>1</v>
      </c>
      <c r="D15" s="1088">
        <v>32.36</v>
      </c>
      <c r="E15" s="1101">
        <v>45103</v>
      </c>
      <c r="F15" s="692">
        <f>D15</f>
        <v>32.36</v>
      </c>
      <c r="G15" s="1102" t="s">
        <v>268</v>
      </c>
      <c r="H15" s="1103">
        <v>120</v>
      </c>
      <c r="I15" s="637">
        <f t="shared" si="3"/>
        <v>32.690000000000012</v>
      </c>
      <c r="J15" s="638">
        <f t="shared" si="4"/>
        <v>1</v>
      </c>
      <c r="M15" s="82"/>
      <c r="N15" s="15"/>
      <c r="O15" s="168">
        <v>0</v>
      </c>
      <c r="P15" s="231"/>
      <c r="Q15" s="1518">
        <f>O15</f>
        <v>0</v>
      </c>
      <c r="R15" s="1519"/>
      <c r="S15" s="1530"/>
      <c r="T15" s="1498">
        <f t="shared" si="5"/>
        <v>0</v>
      </c>
      <c r="U15" s="1499">
        <f t="shared" si="6"/>
        <v>0</v>
      </c>
      <c r="X15" s="82"/>
      <c r="Y15" s="15"/>
      <c r="Z15" s="168">
        <v>0</v>
      </c>
      <c r="AA15" s="231"/>
      <c r="AB15" s="1518">
        <f>Z15</f>
        <v>0</v>
      </c>
      <c r="AC15" s="1519"/>
      <c r="AD15" s="1530"/>
      <c r="AE15" s="1498">
        <f t="shared" si="7"/>
        <v>0</v>
      </c>
      <c r="AF15" s="1499">
        <f t="shared" si="8"/>
        <v>0</v>
      </c>
    </row>
    <row r="16" spans="1:33" x14ac:dyDescent="0.25">
      <c r="A16" s="80"/>
      <c r="B16" s="82"/>
      <c r="C16" s="15"/>
      <c r="D16" s="1088">
        <f t="shared" si="9"/>
        <v>0</v>
      </c>
      <c r="E16" s="1104"/>
      <c r="F16" s="58">
        <f>D16</f>
        <v>0</v>
      </c>
      <c r="G16" s="1087"/>
      <c r="H16" s="1105"/>
      <c r="I16" s="197">
        <f t="shared" si="3"/>
        <v>32.690000000000012</v>
      </c>
      <c r="J16" s="123">
        <f t="shared" si="4"/>
        <v>1</v>
      </c>
      <c r="L16" s="80"/>
      <c r="M16" s="82"/>
      <c r="N16" s="15"/>
      <c r="O16" s="168">
        <v>0</v>
      </c>
      <c r="P16" s="238"/>
      <c r="Q16" s="1518">
        <f>O16</f>
        <v>0</v>
      </c>
      <c r="R16" s="1519"/>
      <c r="S16" s="1530"/>
      <c r="T16" s="1498">
        <f t="shared" si="5"/>
        <v>0</v>
      </c>
      <c r="U16" s="1499">
        <f t="shared" si="6"/>
        <v>0</v>
      </c>
      <c r="W16" s="80"/>
      <c r="X16" s="82"/>
      <c r="Y16" s="15"/>
      <c r="Z16" s="168">
        <v>0</v>
      </c>
      <c r="AA16" s="238"/>
      <c r="AB16" s="1518">
        <f>Z16</f>
        <v>0</v>
      </c>
      <c r="AC16" s="1519"/>
      <c r="AD16" s="1530"/>
      <c r="AE16" s="1498">
        <f t="shared" si="7"/>
        <v>0</v>
      </c>
      <c r="AF16" s="1499">
        <f t="shared" si="8"/>
        <v>0</v>
      </c>
    </row>
    <row r="17" spans="1:32" x14ac:dyDescent="0.25">
      <c r="A17" s="82"/>
      <c r="B17" s="82"/>
      <c r="C17" s="15">
        <v>1</v>
      </c>
      <c r="D17" s="1289">
        <f t="shared" si="9"/>
        <v>0</v>
      </c>
      <c r="E17" s="1321"/>
      <c r="F17" s="1491">
        <v>32.69</v>
      </c>
      <c r="G17" s="1496"/>
      <c r="H17" s="1497"/>
      <c r="I17" s="1498">
        <f t="shared" si="3"/>
        <v>0</v>
      </c>
      <c r="J17" s="1499">
        <f t="shared" si="4"/>
        <v>0</v>
      </c>
      <c r="L17" s="82"/>
      <c r="M17" s="82"/>
      <c r="N17" s="15"/>
      <c r="O17" s="168">
        <v>0</v>
      </c>
      <c r="P17" s="238"/>
      <c r="Q17" s="68">
        <f t="shared" ref="Q17:Q29" si="10">O17</f>
        <v>0</v>
      </c>
      <c r="R17" s="375"/>
      <c r="S17" s="124"/>
      <c r="T17" s="197">
        <f t="shared" si="5"/>
        <v>0</v>
      </c>
      <c r="U17" s="123">
        <f t="shared" si="6"/>
        <v>0</v>
      </c>
      <c r="W17" s="82"/>
      <c r="X17" s="82"/>
      <c r="Y17" s="15"/>
      <c r="Z17" s="168">
        <v>0</v>
      </c>
      <c r="AA17" s="238"/>
      <c r="AB17" s="1518">
        <f t="shared" ref="AB17:AB29" si="11">Z17</f>
        <v>0</v>
      </c>
      <c r="AC17" s="1545"/>
      <c r="AD17" s="1530"/>
      <c r="AE17" s="1498">
        <f t="shared" si="7"/>
        <v>0</v>
      </c>
      <c r="AF17" s="1499">
        <f t="shared" si="8"/>
        <v>0</v>
      </c>
    </row>
    <row r="18" spans="1:32" x14ac:dyDescent="0.25">
      <c r="A18" s="2"/>
      <c r="B18" s="82"/>
      <c r="C18" s="15"/>
      <c r="D18" s="1289">
        <f t="shared" si="9"/>
        <v>0</v>
      </c>
      <c r="E18" s="1321"/>
      <c r="F18" s="1491">
        <f t="shared" ref="F18:F29" si="12">D18</f>
        <v>0</v>
      </c>
      <c r="G18" s="1492"/>
      <c r="H18" s="1497"/>
      <c r="I18" s="1498">
        <f t="shared" si="3"/>
        <v>0</v>
      </c>
      <c r="J18" s="1499">
        <f t="shared" si="4"/>
        <v>0</v>
      </c>
      <c r="L18" s="2"/>
      <c r="M18" s="82"/>
      <c r="N18" s="15"/>
      <c r="O18" s="168">
        <v>0</v>
      </c>
      <c r="P18" s="238"/>
      <c r="Q18" s="68">
        <f t="shared" si="10"/>
        <v>0</v>
      </c>
      <c r="R18" s="69"/>
      <c r="S18" s="124"/>
      <c r="T18" s="197">
        <f t="shared" si="5"/>
        <v>0</v>
      </c>
      <c r="U18" s="123">
        <f t="shared" si="6"/>
        <v>0</v>
      </c>
      <c r="W18" s="2"/>
      <c r="X18" s="82"/>
      <c r="Y18" s="15"/>
      <c r="Z18" s="168">
        <v>0</v>
      </c>
      <c r="AA18" s="238"/>
      <c r="AB18" s="68">
        <f t="shared" si="11"/>
        <v>0</v>
      </c>
      <c r="AC18" s="69"/>
      <c r="AD18" s="124"/>
      <c r="AE18" s="197">
        <f t="shared" si="7"/>
        <v>0</v>
      </c>
      <c r="AF18" s="123">
        <f t="shared" si="8"/>
        <v>0</v>
      </c>
    </row>
    <row r="19" spans="1:32" x14ac:dyDescent="0.25">
      <c r="A19" s="2"/>
      <c r="B19" s="82"/>
      <c r="C19" s="15"/>
      <c r="D19" s="1289">
        <f t="shared" si="9"/>
        <v>0</v>
      </c>
      <c r="E19" s="1321"/>
      <c r="F19" s="1491">
        <f t="shared" si="12"/>
        <v>0</v>
      </c>
      <c r="G19" s="1492"/>
      <c r="H19" s="1497"/>
      <c r="I19" s="1498">
        <f t="shared" si="3"/>
        <v>0</v>
      </c>
      <c r="J19" s="1499">
        <f t="shared" si="4"/>
        <v>0</v>
      </c>
      <c r="L19" s="2"/>
      <c r="M19" s="82"/>
      <c r="N19" s="15"/>
      <c r="O19" s="168">
        <v>0</v>
      </c>
      <c r="P19" s="238"/>
      <c r="Q19" s="68">
        <f t="shared" si="10"/>
        <v>0</v>
      </c>
      <c r="R19" s="69"/>
      <c r="S19" s="124"/>
      <c r="T19" s="197">
        <f t="shared" si="5"/>
        <v>0</v>
      </c>
      <c r="U19" s="123">
        <f t="shared" si="6"/>
        <v>0</v>
      </c>
      <c r="W19" s="2"/>
      <c r="X19" s="82"/>
      <c r="Y19" s="15"/>
      <c r="Z19" s="168">
        <v>0</v>
      </c>
      <c r="AA19" s="238"/>
      <c r="AB19" s="68">
        <f t="shared" si="11"/>
        <v>0</v>
      </c>
      <c r="AC19" s="69"/>
      <c r="AD19" s="124"/>
      <c r="AE19" s="197">
        <f t="shared" si="7"/>
        <v>0</v>
      </c>
      <c r="AF19" s="123">
        <f t="shared" si="8"/>
        <v>0</v>
      </c>
    </row>
    <row r="20" spans="1:32" x14ac:dyDescent="0.25">
      <c r="A20" s="2"/>
      <c r="B20" s="82"/>
      <c r="C20" s="15"/>
      <c r="D20" s="1289">
        <f t="shared" si="9"/>
        <v>0</v>
      </c>
      <c r="E20" s="1323"/>
      <c r="F20" s="1277">
        <f t="shared" si="12"/>
        <v>0</v>
      </c>
      <c r="G20" s="1276"/>
      <c r="H20" s="1322"/>
      <c r="I20" s="197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1"/>
      <c r="Q20" s="68">
        <f t="shared" si="10"/>
        <v>0</v>
      </c>
      <c r="R20" s="69"/>
      <c r="S20" s="124"/>
      <c r="T20" s="197">
        <f t="shared" si="5"/>
        <v>0</v>
      </c>
      <c r="U20" s="123">
        <f t="shared" si="6"/>
        <v>0</v>
      </c>
      <c r="W20" s="2"/>
      <c r="X20" s="82"/>
      <c r="Y20" s="15"/>
      <c r="Z20" s="168">
        <v>0</v>
      </c>
      <c r="AA20" s="231"/>
      <c r="AB20" s="68">
        <f t="shared" si="11"/>
        <v>0</v>
      </c>
      <c r="AC20" s="69"/>
      <c r="AD20" s="124"/>
      <c r="AE20" s="197">
        <f t="shared" si="7"/>
        <v>0</v>
      </c>
      <c r="AF20" s="123">
        <f t="shared" si="8"/>
        <v>0</v>
      </c>
    </row>
    <row r="21" spans="1:32" x14ac:dyDescent="0.25">
      <c r="A21" s="2"/>
      <c r="B21" s="82"/>
      <c r="C21" s="15"/>
      <c r="D21" s="1289">
        <f t="shared" si="9"/>
        <v>0</v>
      </c>
      <c r="E21" s="1323"/>
      <c r="F21" s="1277">
        <f t="shared" si="12"/>
        <v>0</v>
      </c>
      <c r="G21" s="1276"/>
      <c r="H21" s="1322"/>
      <c r="I21" s="197">
        <f t="shared" si="3"/>
        <v>0</v>
      </c>
      <c r="J21" s="123">
        <f t="shared" si="4"/>
        <v>0</v>
      </c>
      <c r="L21" s="2"/>
      <c r="M21" s="82"/>
      <c r="N21" s="15"/>
      <c r="O21" s="168">
        <v>0</v>
      </c>
      <c r="P21" s="231"/>
      <c r="Q21" s="68">
        <f t="shared" si="10"/>
        <v>0</v>
      </c>
      <c r="R21" s="69"/>
      <c r="S21" s="124"/>
      <c r="T21" s="197">
        <f t="shared" si="5"/>
        <v>0</v>
      </c>
      <c r="U21" s="123">
        <f t="shared" si="6"/>
        <v>0</v>
      </c>
      <c r="W21" s="2"/>
      <c r="X21" s="82"/>
      <c r="Y21" s="15"/>
      <c r="Z21" s="168">
        <v>0</v>
      </c>
      <c r="AA21" s="231"/>
      <c r="AB21" s="68">
        <f t="shared" si="11"/>
        <v>0</v>
      </c>
      <c r="AC21" s="69"/>
      <c r="AD21" s="124"/>
      <c r="AE21" s="197">
        <f t="shared" si="7"/>
        <v>0</v>
      </c>
      <c r="AF21" s="123">
        <f t="shared" si="8"/>
        <v>0</v>
      </c>
    </row>
    <row r="22" spans="1:32" x14ac:dyDescent="0.25">
      <c r="A22" s="2"/>
      <c r="B22" s="82"/>
      <c r="C22" s="15"/>
      <c r="D22" s="1289">
        <f t="shared" si="9"/>
        <v>0</v>
      </c>
      <c r="E22" s="1323"/>
      <c r="F22" s="1277">
        <f t="shared" si="12"/>
        <v>0</v>
      </c>
      <c r="G22" s="1276"/>
      <c r="H22" s="1322"/>
      <c r="I22" s="197">
        <f t="shared" si="3"/>
        <v>0</v>
      </c>
      <c r="J22" s="123">
        <f t="shared" si="4"/>
        <v>0</v>
      </c>
      <c r="L22" s="2"/>
      <c r="M22" s="82"/>
      <c r="N22" s="15"/>
      <c r="O22" s="168">
        <v>0</v>
      </c>
      <c r="P22" s="231"/>
      <c r="Q22" s="68">
        <f t="shared" si="10"/>
        <v>0</v>
      </c>
      <c r="R22" s="69"/>
      <c r="S22" s="124"/>
      <c r="T22" s="197">
        <f t="shared" si="5"/>
        <v>0</v>
      </c>
      <c r="U22" s="123">
        <f t="shared" si="6"/>
        <v>0</v>
      </c>
      <c r="W22" s="2"/>
      <c r="X22" s="82"/>
      <c r="Y22" s="15"/>
      <c r="Z22" s="168">
        <v>0</v>
      </c>
      <c r="AA22" s="231"/>
      <c r="AB22" s="68">
        <f t="shared" si="11"/>
        <v>0</v>
      </c>
      <c r="AC22" s="69"/>
      <c r="AD22" s="124"/>
      <c r="AE22" s="197">
        <f t="shared" si="7"/>
        <v>0</v>
      </c>
      <c r="AF22" s="123">
        <f t="shared" si="8"/>
        <v>0</v>
      </c>
    </row>
    <row r="23" spans="1:32" x14ac:dyDescent="0.25">
      <c r="A23" s="2"/>
      <c r="B23" s="82"/>
      <c r="C23" s="15"/>
      <c r="D23" s="1289">
        <f t="shared" si="9"/>
        <v>0</v>
      </c>
      <c r="E23" s="1323"/>
      <c r="F23" s="1277">
        <f t="shared" si="12"/>
        <v>0</v>
      </c>
      <c r="G23" s="1276"/>
      <c r="H23" s="1322"/>
      <c r="I23" s="197">
        <f t="shared" si="3"/>
        <v>0</v>
      </c>
      <c r="J23" s="123">
        <f t="shared" si="4"/>
        <v>0</v>
      </c>
      <c r="L23" s="2"/>
      <c r="M23" s="82"/>
      <c r="N23" s="15"/>
      <c r="O23" s="168">
        <v>0</v>
      </c>
      <c r="P23" s="231"/>
      <c r="Q23" s="68">
        <f t="shared" si="10"/>
        <v>0</v>
      </c>
      <c r="R23" s="69"/>
      <c r="S23" s="124"/>
      <c r="T23" s="197">
        <f t="shared" si="5"/>
        <v>0</v>
      </c>
      <c r="U23" s="123">
        <f t="shared" si="6"/>
        <v>0</v>
      </c>
      <c r="W23" s="2"/>
      <c r="X23" s="82"/>
      <c r="Y23" s="15"/>
      <c r="Z23" s="168">
        <v>0</v>
      </c>
      <c r="AA23" s="231"/>
      <c r="AB23" s="68">
        <f t="shared" si="11"/>
        <v>0</v>
      </c>
      <c r="AC23" s="69"/>
      <c r="AD23" s="124"/>
      <c r="AE23" s="197">
        <f t="shared" si="7"/>
        <v>0</v>
      </c>
      <c r="AF23" s="123">
        <f t="shared" si="8"/>
        <v>0</v>
      </c>
    </row>
    <row r="24" spans="1:32" x14ac:dyDescent="0.25">
      <c r="A24" s="2"/>
      <c r="B24" s="82"/>
      <c r="C24" s="15"/>
      <c r="D24" s="1289">
        <f t="shared" si="9"/>
        <v>0</v>
      </c>
      <c r="E24" s="1321"/>
      <c r="F24" s="1277">
        <f t="shared" si="12"/>
        <v>0</v>
      </c>
      <c r="G24" s="1276"/>
      <c r="H24" s="1322"/>
      <c r="I24" s="197">
        <f t="shared" si="3"/>
        <v>0</v>
      </c>
      <c r="J24" s="123">
        <f t="shared" si="4"/>
        <v>0</v>
      </c>
      <c r="L24" s="2"/>
      <c r="M24" s="82"/>
      <c r="N24" s="15"/>
      <c r="O24" s="168">
        <v>0</v>
      </c>
      <c r="P24" s="238"/>
      <c r="Q24" s="68">
        <f t="shared" si="10"/>
        <v>0</v>
      </c>
      <c r="R24" s="69"/>
      <c r="S24" s="124"/>
      <c r="T24" s="197">
        <f t="shared" si="5"/>
        <v>0</v>
      </c>
      <c r="U24" s="123">
        <f t="shared" si="6"/>
        <v>0</v>
      </c>
      <c r="W24" s="2"/>
      <c r="X24" s="82"/>
      <c r="Y24" s="15"/>
      <c r="Z24" s="168">
        <v>0</v>
      </c>
      <c r="AA24" s="238"/>
      <c r="AB24" s="68">
        <f t="shared" si="11"/>
        <v>0</v>
      </c>
      <c r="AC24" s="69"/>
      <c r="AD24" s="124"/>
      <c r="AE24" s="197">
        <f t="shared" si="7"/>
        <v>0</v>
      </c>
      <c r="AF24" s="123">
        <f t="shared" si="8"/>
        <v>0</v>
      </c>
    </row>
    <row r="25" spans="1:32" x14ac:dyDescent="0.25">
      <c r="A25" s="2"/>
      <c r="B25" s="82"/>
      <c r="C25" s="15"/>
      <c r="D25" s="1289">
        <f t="shared" si="9"/>
        <v>0</v>
      </c>
      <c r="E25" s="1321"/>
      <c r="F25" s="1277">
        <f t="shared" si="12"/>
        <v>0</v>
      </c>
      <c r="G25" s="1276"/>
      <c r="H25" s="1322"/>
      <c r="I25" s="197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38"/>
      <c r="Q25" s="68">
        <f t="shared" si="10"/>
        <v>0</v>
      </c>
      <c r="R25" s="69"/>
      <c r="S25" s="124"/>
      <c r="T25" s="197">
        <f t="shared" si="5"/>
        <v>0</v>
      </c>
      <c r="U25" s="123">
        <f t="shared" si="6"/>
        <v>0</v>
      </c>
      <c r="W25" s="2"/>
      <c r="X25" s="82"/>
      <c r="Y25" s="15"/>
      <c r="Z25" s="168">
        <v>0</v>
      </c>
      <c r="AA25" s="238"/>
      <c r="AB25" s="68">
        <f t="shared" si="11"/>
        <v>0</v>
      </c>
      <c r="AC25" s="69"/>
      <c r="AD25" s="124"/>
      <c r="AE25" s="197">
        <f t="shared" si="7"/>
        <v>0</v>
      </c>
      <c r="AF25" s="123">
        <f t="shared" si="8"/>
        <v>0</v>
      </c>
    </row>
    <row r="26" spans="1:32" x14ac:dyDescent="0.25">
      <c r="A26" s="2"/>
      <c r="B26" s="82"/>
      <c r="C26" s="15"/>
      <c r="D26" s="1289">
        <f t="shared" si="9"/>
        <v>0</v>
      </c>
      <c r="E26" s="1324"/>
      <c r="F26" s="1277">
        <f t="shared" si="12"/>
        <v>0</v>
      </c>
      <c r="G26" s="1276"/>
      <c r="H26" s="194"/>
      <c r="I26" s="197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2"/>
      <c r="Q26" s="68">
        <f t="shared" si="10"/>
        <v>0</v>
      </c>
      <c r="R26" s="69"/>
      <c r="S26" s="70"/>
      <c r="T26" s="197">
        <f t="shared" si="5"/>
        <v>0</v>
      </c>
      <c r="U26" s="123">
        <f t="shared" si="6"/>
        <v>0</v>
      </c>
      <c r="W26" s="2"/>
      <c r="X26" s="82"/>
      <c r="Y26" s="15"/>
      <c r="Z26" s="168">
        <v>0</v>
      </c>
      <c r="AA26" s="232"/>
      <c r="AB26" s="68">
        <f t="shared" si="11"/>
        <v>0</v>
      </c>
      <c r="AC26" s="69"/>
      <c r="AD26" s="70"/>
      <c r="AE26" s="197">
        <f t="shared" si="7"/>
        <v>0</v>
      </c>
      <c r="AF26" s="123">
        <f t="shared" si="8"/>
        <v>0</v>
      </c>
    </row>
    <row r="27" spans="1:32" x14ac:dyDescent="0.25">
      <c r="A27" s="2"/>
      <c r="B27" s="82"/>
      <c r="C27" s="15"/>
      <c r="D27" s="1289">
        <f t="shared" si="9"/>
        <v>0</v>
      </c>
      <c r="E27" s="1324"/>
      <c r="F27" s="1277">
        <f t="shared" si="12"/>
        <v>0</v>
      </c>
      <c r="G27" s="1276"/>
      <c r="H27" s="194"/>
      <c r="I27" s="197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2"/>
      <c r="Q27" s="68">
        <f t="shared" si="10"/>
        <v>0</v>
      </c>
      <c r="R27" s="69"/>
      <c r="S27" s="70"/>
      <c r="T27" s="197">
        <f t="shared" si="5"/>
        <v>0</v>
      </c>
      <c r="U27" s="123">
        <f t="shared" si="6"/>
        <v>0</v>
      </c>
      <c r="W27" s="2"/>
      <c r="X27" s="82"/>
      <c r="Y27" s="15"/>
      <c r="Z27" s="168">
        <v>0</v>
      </c>
      <c r="AA27" s="232"/>
      <c r="AB27" s="68">
        <f t="shared" si="11"/>
        <v>0</v>
      </c>
      <c r="AC27" s="69"/>
      <c r="AD27" s="70"/>
      <c r="AE27" s="197">
        <f t="shared" si="7"/>
        <v>0</v>
      </c>
      <c r="AF27" s="123">
        <f t="shared" si="8"/>
        <v>0</v>
      </c>
    </row>
    <row r="28" spans="1:32" x14ac:dyDescent="0.25">
      <c r="A28" s="2"/>
      <c r="B28" s="82"/>
      <c r="C28" s="15"/>
      <c r="D28" s="168">
        <f t="shared" si="9"/>
        <v>0</v>
      </c>
      <c r="E28" s="232"/>
      <c r="F28" s="68">
        <f t="shared" si="12"/>
        <v>0</v>
      </c>
      <c r="G28" s="69"/>
      <c r="H28" s="70"/>
      <c r="I28" s="197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2"/>
      <c r="Q28" s="68">
        <f t="shared" si="10"/>
        <v>0</v>
      </c>
      <c r="R28" s="69"/>
      <c r="S28" s="70"/>
      <c r="T28" s="197">
        <f t="shared" si="5"/>
        <v>0</v>
      </c>
      <c r="U28" s="123">
        <f t="shared" si="6"/>
        <v>0</v>
      </c>
      <c r="W28" s="2"/>
      <c r="X28" s="82"/>
      <c r="Y28" s="15"/>
      <c r="Z28" s="168">
        <v>0</v>
      </c>
      <c r="AA28" s="232"/>
      <c r="AB28" s="68">
        <f t="shared" si="11"/>
        <v>0</v>
      </c>
      <c r="AC28" s="69"/>
      <c r="AD28" s="70"/>
      <c r="AE28" s="197">
        <f t="shared" si="7"/>
        <v>0</v>
      </c>
      <c r="AF28" s="123">
        <f t="shared" si="8"/>
        <v>0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12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1146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1425"/>
    </row>
    <row r="30" spans="1:32" ht="16.5" thickTop="1" thickBot="1" x14ac:dyDescent="0.3">
      <c r="C30" s="89">
        <f>SUM(C8:C29)</f>
        <v>18</v>
      </c>
      <c r="D30" s="48">
        <f>SUM(D8:D29)</f>
        <v>508.22</v>
      </c>
      <c r="E30" s="38"/>
      <c r="F30" s="5">
        <f>SUM(F8:F29)</f>
        <v>540.91000000000008</v>
      </c>
      <c r="J30" s="72"/>
      <c r="N30" s="89">
        <f>SUM(N8:N29)</f>
        <v>12</v>
      </c>
      <c r="O30" s="48">
        <f>SUM(O8:O29)</f>
        <v>100.84</v>
      </c>
      <c r="P30" s="38"/>
      <c r="Q30" s="5">
        <f>SUM(Q8:Q29)</f>
        <v>312.56</v>
      </c>
      <c r="U30" s="1146"/>
      <c r="Y30" s="89">
        <f>SUM(Y8:Y29)</f>
        <v>19</v>
      </c>
      <c r="Z30" s="48">
        <f>SUM(Z8:Z29)</f>
        <v>484.25</v>
      </c>
      <c r="AA30" s="38"/>
      <c r="AB30" s="5">
        <f>SUM(AB8:AB29)</f>
        <v>484.25</v>
      </c>
      <c r="AF30" s="1425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0</v>
      </c>
      <c r="U31" s="1146"/>
      <c r="W31" s="51"/>
      <c r="Z31" s="110" t="s">
        <v>4</v>
      </c>
      <c r="AA31" s="67">
        <f>AB4+AB5+AB6-+Y30</f>
        <v>0</v>
      </c>
      <c r="AF31" s="1425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716" t="s">
        <v>11</v>
      </c>
      <c r="D33" s="1717"/>
      <c r="E33" s="141">
        <f>E5+E4+E6+-F30</f>
        <v>0</v>
      </c>
      <c r="L33" s="47"/>
      <c r="N33" s="1716" t="s">
        <v>11</v>
      </c>
      <c r="O33" s="1717"/>
      <c r="P33" s="141">
        <f>P5+P4+P6+-Q30</f>
        <v>0</v>
      </c>
      <c r="W33" s="47"/>
      <c r="Y33" s="1716" t="s">
        <v>11</v>
      </c>
      <c r="Z33" s="1717"/>
      <c r="AA33" s="141">
        <f>AA5+AA4+AA6+-AB30</f>
        <v>0</v>
      </c>
    </row>
  </sheetData>
  <mergeCells count="18">
    <mergeCell ref="A1:G1"/>
    <mergeCell ref="A5:A6"/>
    <mergeCell ref="B5:B6"/>
    <mergeCell ref="I6:I7"/>
    <mergeCell ref="Y33:Z33"/>
    <mergeCell ref="W1:AC1"/>
    <mergeCell ref="W5:W6"/>
    <mergeCell ref="N33:O33"/>
    <mergeCell ref="L1:R1"/>
    <mergeCell ref="L5:L6"/>
    <mergeCell ref="M5:M6"/>
    <mergeCell ref="T6:T7"/>
    <mergeCell ref="X5:X6"/>
    <mergeCell ref="AE6:AE7"/>
    <mergeCell ref="AF6:AF7"/>
    <mergeCell ref="U6:U7"/>
    <mergeCell ref="J6:J7"/>
    <mergeCell ref="C33:D3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74" t="s">
        <v>82</v>
      </c>
      <c r="C4" s="99"/>
      <c r="D4" s="131"/>
      <c r="E4" s="85"/>
      <c r="F4" s="72"/>
      <c r="G4" s="224"/>
    </row>
    <row r="5" spans="1:9" x14ac:dyDescent="0.25">
      <c r="A5" s="1671"/>
      <c r="B5" s="1775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71"/>
      <c r="C6" s="363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6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6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6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6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6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6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6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6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6"/>
      <c r="E16" s="407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8"/>
      <c r="E17" s="407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6"/>
      <c r="E18" s="407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6"/>
      <c r="E19" s="407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6"/>
      <c r="E20" s="407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6"/>
      <c r="E21" s="407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6"/>
      <c r="E22" s="407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6"/>
      <c r="E23" s="407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6"/>
      <c r="E24" s="407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6"/>
      <c r="E25" s="407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6"/>
      <c r="E26" s="407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7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78" t="s">
        <v>83</v>
      </c>
      <c r="C4" s="99"/>
      <c r="D4" s="131"/>
      <c r="E4" s="85"/>
      <c r="F4" s="72"/>
      <c r="G4" s="224"/>
    </row>
    <row r="5" spans="1:10" x14ac:dyDescent="0.25">
      <c r="A5" s="1671"/>
      <c r="B5" s="177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671"/>
      <c r="C6" s="363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39">
        <f>F5-C8</f>
        <v>0</v>
      </c>
      <c r="C8" s="624"/>
      <c r="D8" s="562"/>
      <c r="E8" s="640"/>
      <c r="F8" s="562">
        <f t="shared" ref="F8:F28" si="0">D8</f>
        <v>0</v>
      </c>
      <c r="G8" s="693"/>
      <c r="H8" s="564"/>
      <c r="I8" s="560">
        <f>E4+E5+E6-D8</f>
        <v>0</v>
      </c>
      <c r="J8" s="594"/>
    </row>
    <row r="9" spans="1:10" x14ac:dyDescent="0.25">
      <c r="A9" s="74"/>
      <c r="B9" s="840">
        <f>B8-C9</f>
        <v>0</v>
      </c>
      <c r="C9" s="624"/>
      <c r="D9" s="562"/>
      <c r="E9" s="640"/>
      <c r="F9" s="562">
        <f t="shared" si="0"/>
        <v>0</v>
      </c>
      <c r="G9" s="693"/>
      <c r="H9" s="564"/>
      <c r="I9" s="560">
        <f>I8-D9</f>
        <v>0</v>
      </c>
      <c r="J9" s="594"/>
    </row>
    <row r="10" spans="1:10" x14ac:dyDescent="0.25">
      <c r="A10" s="74"/>
      <c r="B10" s="840">
        <f t="shared" ref="B10:B28" si="1">B9-C10</f>
        <v>0</v>
      </c>
      <c r="C10" s="624"/>
      <c r="D10" s="562"/>
      <c r="E10" s="640"/>
      <c r="F10" s="562">
        <f t="shared" si="0"/>
        <v>0</v>
      </c>
      <c r="G10" s="693"/>
      <c r="H10" s="564"/>
      <c r="I10" s="560">
        <f t="shared" ref="I10:I27" si="2">I9-D10</f>
        <v>0</v>
      </c>
      <c r="J10" s="594"/>
    </row>
    <row r="11" spans="1:10" x14ac:dyDescent="0.25">
      <c r="A11" s="54"/>
      <c r="B11" s="840">
        <f t="shared" si="1"/>
        <v>0</v>
      </c>
      <c r="C11" s="624"/>
      <c r="D11" s="562"/>
      <c r="E11" s="640"/>
      <c r="F11" s="562">
        <f t="shared" si="0"/>
        <v>0</v>
      </c>
      <c r="G11" s="693"/>
      <c r="H11" s="564"/>
      <c r="I11" s="560">
        <f t="shared" si="2"/>
        <v>0</v>
      </c>
      <c r="J11" s="594"/>
    </row>
    <row r="12" spans="1:10" x14ac:dyDescent="0.25">
      <c r="A12" s="74"/>
      <c r="B12" s="840">
        <f t="shared" si="1"/>
        <v>0</v>
      </c>
      <c r="C12" s="624"/>
      <c r="D12" s="562"/>
      <c r="E12" s="640"/>
      <c r="F12" s="562">
        <f t="shared" si="0"/>
        <v>0</v>
      </c>
      <c r="G12" s="693"/>
      <c r="H12" s="564"/>
      <c r="I12" s="560">
        <f t="shared" si="2"/>
        <v>0</v>
      </c>
      <c r="J12" s="594"/>
    </row>
    <row r="13" spans="1:10" x14ac:dyDescent="0.25">
      <c r="A13" s="74"/>
      <c r="B13" s="840">
        <f t="shared" si="1"/>
        <v>0</v>
      </c>
      <c r="C13" s="624"/>
      <c r="D13" s="562"/>
      <c r="E13" s="640"/>
      <c r="F13" s="562">
        <f t="shared" si="0"/>
        <v>0</v>
      </c>
      <c r="G13" s="693"/>
      <c r="H13" s="564"/>
      <c r="I13" s="560">
        <f t="shared" si="2"/>
        <v>0</v>
      </c>
      <c r="J13" s="594"/>
    </row>
    <row r="14" spans="1:10" x14ac:dyDescent="0.25">
      <c r="B14" s="840">
        <f t="shared" si="1"/>
        <v>0</v>
      </c>
      <c r="C14" s="624"/>
      <c r="D14" s="562"/>
      <c r="E14" s="640"/>
      <c r="F14" s="562">
        <f t="shared" si="0"/>
        <v>0</v>
      </c>
      <c r="G14" s="693"/>
      <c r="H14" s="564"/>
      <c r="I14" s="560">
        <f t="shared" si="2"/>
        <v>0</v>
      </c>
      <c r="J14" s="594"/>
    </row>
    <row r="15" spans="1:10" x14ac:dyDescent="0.25">
      <c r="B15" s="840">
        <f t="shared" si="1"/>
        <v>0</v>
      </c>
      <c r="C15" s="624"/>
      <c r="D15" s="562"/>
      <c r="E15" s="640"/>
      <c r="F15" s="562">
        <f t="shared" si="0"/>
        <v>0</v>
      </c>
      <c r="G15" s="693"/>
      <c r="H15" s="564"/>
      <c r="I15" s="560">
        <f t="shared" si="2"/>
        <v>0</v>
      </c>
      <c r="J15" s="594"/>
    </row>
    <row r="16" spans="1:10" x14ac:dyDescent="0.25">
      <c r="B16" s="840">
        <f t="shared" si="1"/>
        <v>0</v>
      </c>
      <c r="C16" s="624"/>
      <c r="D16" s="562"/>
      <c r="E16" s="640"/>
      <c r="F16" s="562">
        <f t="shared" si="0"/>
        <v>0</v>
      </c>
      <c r="G16" s="693"/>
      <c r="H16" s="564"/>
      <c r="I16" s="560">
        <f t="shared" si="2"/>
        <v>0</v>
      </c>
      <c r="J16" s="594"/>
    </row>
    <row r="17" spans="1:10" x14ac:dyDescent="0.25">
      <c r="B17" s="840">
        <f t="shared" si="1"/>
        <v>0</v>
      </c>
      <c r="C17" s="624"/>
      <c r="D17" s="565"/>
      <c r="E17" s="640"/>
      <c r="F17" s="562">
        <f t="shared" si="0"/>
        <v>0</v>
      </c>
      <c r="G17" s="693"/>
      <c r="H17" s="564"/>
      <c r="I17" s="560">
        <f t="shared" si="2"/>
        <v>0</v>
      </c>
      <c r="J17" s="594"/>
    </row>
    <row r="18" spans="1:10" x14ac:dyDescent="0.25">
      <c r="B18" s="840">
        <f t="shared" si="1"/>
        <v>0</v>
      </c>
      <c r="C18" s="624"/>
      <c r="D18" s="562"/>
      <c r="E18" s="640"/>
      <c r="F18" s="562">
        <f t="shared" si="0"/>
        <v>0</v>
      </c>
      <c r="G18" s="693"/>
      <c r="H18" s="564"/>
      <c r="I18" s="560">
        <f t="shared" si="2"/>
        <v>0</v>
      </c>
      <c r="J18" s="594"/>
    </row>
    <row r="19" spans="1:10" x14ac:dyDescent="0.25">
      <c r="B19" s="840">
        <f t="shared" si="1"/>
        <v>0</v>
      </c>
      <c r="C19" s="624"/>
      <c r="D19" s="562"/>
      <c r="E19" s="640"/>
      <c r="F19" s="562">
        <f t="shared" si="0"/>
        <v>0</v>
      </c>
      <c r="G19" s="693"/>
      <c r="H19" s="564"/>
      <c r="I19" s="560">
        <f t="shared" si="2"/>
        <v>0</v>
      </c>
      <c r="J19" s="594"/>
    </row>
    <row r="20" spans="1:10" x14ac:dyDescent="0.25">
      <c r="B20" s="840">
        <f t="shared" si="1"/>
        <v>0</v>
      </c>
      <c r="C20" s="624"/>
      <c r="D20" s="562"/>
      <c r="E20" s="640"/>
      <c r="F20" s="562">
        <f t="shared" si="0"/>
        <v>0</v>
      </c>
      <c r="G20" s="693"/>
      <c r="H20" s="564"/>
      <c r="I20" s="560">
        <f t="shared" si="2"/>
        <v>0</v>
      </c>
      <c r="J20" s="594"/>
    </row>
    <row r="21" spans="1:10" x14ac:dyDescent="0.25">
      <c r="B21" s="840">
        <f t="shared" si="1"/>
        <v>0</v>
      </c>
      <c r="C21" s="624"/>
      <c r="D21" s="562"/>
      <c r="E21" s="640"/>
      <c r="F21" s="562">
        <f t="shared" si="0"/>
        <v>0</v>
      </c>
      <c r="G21" s="693"/>
      <c r="H21" s="564"/>
      <c r="I21" s="560">
        <f t="shared" si="2"/>
        <v>0</v>
      </c>
      <c r="J21" s="594"/>
    </row>
    <row r="22" spans="1:10" x14ac:dyDescent="0.25">
      <c r="B22" s="840">
        <f t="shared" si="1"/>
        <v>0</v>
      </c>
      <c r="C22" s="624"/>
      <c r="D22" s="841"/>
      <c r="E22" s="842"/>
      <c r="F22" s="562">
        <f t="shared" si="0"/>
        <v>0</v>
      </c>
      <c r="G22" s="693"/>
      <c r="H22" s="564"/>
      <c r="I22" s="560">
        <f t="shared" si="2"/>
        <v>0</v>
      </c>
      <c r="J22" s="594"/>
    </row>
    <row r="23" spans="1:10" x14ac:dyDescent="0.25">
      <c r="B23" s="840">
        <f t="shared" si="1"/>
        <v>0</v>
      </c>
      <c r="C23" s="624"/>
      <c r="D23" s="841"/>
      <c r="E23" s="842"/>
      <c r="F23" s="562">
        <f t="shared" si="0"/>
        <v>0</v>
      </c>
      <c r="G23" s="693"/>
      <c r="H23" s="564"/>
      <c r="I23" s="560">
        <f t="shared" si="2"/>
        <v>0</v>
      </c>
      <c r="J23" s="594"/>
    </row>
    <row r="24" spans="1:10" x14ac:dyDescent="0.25">
      <c r="B24" s="2">
        <f t="shared" si="1"/>
        <v>0</v>
      </c>
      <c r="C24" s="15"/>
      <c r="D24" s="406"/>
      <c r="E24" s="407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06"/>
      <c r="E25" s="407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06"/>
      <c r="E26" s="407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06"/>
      <c r="E27" s="407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06"/>
      <c r="E28" s="407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7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668"/>
      <c r="B1" s="1668"/>
      <c r="C1" s="1668"/>
      <c r="D1" s="1668"/>
      <c r="E1" s="1668"/>
      <c r="F1" s="1668"/>
      <c r="G1" s="1668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756"/>
      <c r="B5" s="1776" t="s">
        <v>267</v>
      </c>
      <c r="C5" s="488"/>
      <c r="D5" s="114"/>
      <c r="E5" s="889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757"/>
      <c r="B6" s="1777"/>
      <c r="C6" s="212"/>
      <c r="D6" s="114"/>
      <c r="E6" s="140"/>
      <c r="F6" s="227"/>
      <c r="I6" s="1741" t="s">
        <v>3</v>
      </c>
      <c r="J6" s="173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42"/>
      <c r="J7" s="1737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65">
        <f t="shared" ref="F8:F13" si="0">D8</f>
        <v>0</v>
      </c>
      <c r="G8" s="563"/>
      <c r="H8" s="577"/>
      <c r="I8" s="713">
        <f>E5+E4-F8+E6</f>
        <v>0</v>
      </c>
      <c r="J8" s="723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65">
        <f t="shared" si="0"/>
        <v>0</v>
      </c>
      <c r="G9" s="563"/>
      <c r="H9" s="577"/>
      <c r="I9" s="713">
        <f>I8-F9</f>
        <v>0</v>
      </c>
      <c r="J9" s="723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65">
        <f t="shared" si="0"/>
        <v>0</v>
      </c>
      <c r="G10" s="563"/>
      <c r="H10" s="577"/>
      <c r="I10" s="713">
        <f t="shared" ref="I10:I28" si="1">I9-F10</f>
        <v>0</v>
      </c>
      <c r="J10" s="723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65">
        <f t="shared" si="0"/>
        <v>0</v>
      </c>
      <c r="G11" s="563"/>
      <c r="H11" s="577"/>
      <c r="I11" s="713">
        <f t="shared" si="1"/>
        <v>0</v>
      </c>
      <c r="J11" s="723">
        <f t="shared" si="2"/>
        <v>0</v>
      </c>
    </row>
    <row r="12" spans="1:11" x14ac:dyDescent="0.25">
      <c r="A12" s="1197"/>
      <c r="B12" s="82"/>
      <c r="C12" s="15"/>
      <c r="D12" s="168">
        <v>0</v>
      </c>
      <c r="E12" s="232"/>
      <c r="F12" s="565">
        <f t="shared" si="0"/>
        <v>0</v>
      </c>
      <c r="G12" s="563"/>
      <c r="H12" s="577"/>
      <c r="I12" s="713">
        <f t="shared" si="1"/>
        <v>0</v>
      </c>
      <c r="J12" s="723">
        <f t="shared" si="2"/>
        <v>0</v>
      </c>
    </row>
    <row r="13" spans="1:11" x14ac:dyDescent="0.25">
      <c r="A13" s="1197"/>
      <c r="B13" s="82"/>
      <c r="C13" s="15"/>
      <c r="D13" s="168">
        <v>0</v>
      </c>
      <c r="E13" s="231"/>
      <c r="F13" s="565">
        <f t="shared" si="0"/>
        <v>0</v>
      </c>
      <c r="G13" s="563"/>
      <c r="H13" s="577"/>
      <c r="I13" s="713">
        <f t="shared" si="1"/>
        <v>0</v>
      </c>
      <c r="J13" s="723">
        <f t="shared" si="2"/>
        <v>0</v>
      </c>
      <c r="K13" s="594"/>
    </row>
    <row r="14" spans="1:11" x14ac:dyDescent="0.25">
      <c r="B14" s="82"/>
      <c r="C14" s="15"/>
      <c r="D14" s="168">
        <v>0</v>
      </c>
      <c r="E14" s="231"/>
      <c r="F14" s="565">
        <f>D14</f>
        <v>0</v>
      </c>
      <c r="G14" s="563"/>
      <c r="H14" s="577"/>
      <c r="I14" s="713">
        <f t="shared" si="1"/>
        <v>0</v>
      </c>
      <c r="J14" s="723">
        <f t="shared" si="2"/>
        <v>0</v>
      </c>
      <c r="K14" s="594"/>
    </row>
    <row r="15" spans="1:11" x14ac:dyDescent="0.25">
      <c r="B15" s="82"/>
      <c r="C15" s="15"/>
      <c r="D15" s="168">
        <v>0</v>
      </c>
      <c r="E15" s="231"/>
      <c r="F15" s="565">
        <f>D15</f>
        <v>0</v>
      </c>
      <c r="G15" s="563"/>
      <c r="H15" s="577"/>
      <c r="I15" s="713">
        <f t="shared" si="1"/>
        <v>0</v>
      </c>
      <c r="J15" s="723">
        <f t="shared" si="2"/>
        <v>0</v>
      </c>
      <c r="K15" s="594"/>
    </row>
    <row r="16" spans="1:11" x14ac:dyDescent="0.25">
      <c r="A16" s="80"/>
      <c r="B16" s="82"/>
      <c r="C16" s="15"/>
      <c r="D16" s="168">
        <v>0</v>
      </c>
      <c r="E16" s="238"/>
      <c r="F16" s="565">
        <f>D16</f>
        <v>0</v>
      </c>
      <c r="G16" s="563"/>
      <c r="H16" s="577"/>
      <c r="I16" s="713">
        <f t="shared" si="1"/>
        <v>0</v>
      </c>
      <c r="J16" s="723">
        <f t="shared" si="2"/>
        <v>0</v>
      </c>
      <c r="K16" s="594"/>
    </row>
    <row r="17" spans="1:11" x14ac:dyDescent="0.25">
      <c r="A17" s="82"/>
      <c r="B17" s="82"/>
      <c r="C17" s="15"/>
      <c r="D17" s="168">
        <v>0</v>
      </c>
      <c r="E17" s="238"/>
      <c r="F17" s="565">
        <f t="shared" ref="F17:F29" si="3">D17</f>
        <v>0</v>
      </c>
      <c r="G17" s="838"/>
      <c r="H17" s="577"/>
      <c r="I17" s="713">
        <f t="shared" si="1"/>
        <v>0</v>
      </c>
      <c r="J17" s="723">
        <f t="shared" si="2"/>
        <v>0</v>
      </c>
      <c r="K17" s="594"/>
    </row>
    <row r="18" spans="1:11" x14ac:dyDescent="0.25">
      <c r="A18" s="2"/>
      <c r="B18" s="82"/>
      <c r="C18" s="15"/>
      <c r="D18" s="168">
        <v>0</v>
      </c>
      <c r="E18" s="238"/>
      <c r="F18" s="565">
        <f t="shared" si="3"/>
        <v>0</v>
      </c>
      <c r="G18" s="563"/>
      <c r="H18" s="577"/>
      <c r="I18" s="713">
        <f t="shared" si="1"/>
        <v>0</v>
      </c>
      <c r="J18" s="723">
        <f t="shared" si="2"/>
        <v>0</v>
      </c>
      <c r="K18" s="594"/>
    </row>
    <row r="19" spans="1:11" x14ac:dyDescent="0.25">
      <c r="A19" s="2"/>
      <c r="B19" s="82"/>
      <c r="C19" s="15"/>
      <c r="D19" s="168">
        <v>0</v>
      </c>
      <c r="E19" s="238"/>
      <c r="F19" s="565">
        <f t="shared" si="3"/>
        <v>0</v>
      </c>
      <c r="G19" s="563"/>
      <c r="H19" s="577"/>
      <c r="I19" s="713">
        <f t="shared" si="1"/>
        <v>0</v>
      </c>
      <c r="J19" s="723">
        <f t="shared" si="2"/>
        <v>0</v>
      </c>
      <c r="K19" s="59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97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97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197"/>
    </row>
    <row r="32" spans="1:11" ht="15.75" thickBot="1" x14ac:dyDescent="0.3">
      <c r="A32" s="115"/>
    </row>
    <row r="33" spans="1:5" ht="16.5" thickTop="1" thickBot="1" x14ac:dyDescent="0.3">
      <c r="A33" s="47"/>
      <c r="C33" s="1716" t="s">
        <v>11</v>
      </c>
      <c r="D33" s="1717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F11" sqref="F11:I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68" t="s">
        <v>337</v>
      </c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71" t="s">
        <v>52</v>
      </c>
      <c r="B5" s="1670" t="s">
        <v>91</v>
      </c>
      <c r="C5" s="362">
        <v>66</v>
      </c>
      <c r="D5" s="578">
        <v>45122</v>
      </c>
      <c r="E5" s="713">
        <v>310.56</v>
      </c>
      <c r="F5" s="664">
        <v>13</v>
      </c>
      <c r="G5" s="5"/>
    </row>
    <row r="6" spans="1:9" ht="20.25" customHeight="1" x14ac:dyDescent="0.25">
      <c r="A6" s="1671"/>
      <c r="B6" s="1670"/>
      <c r="C6" s="216"/>
      <c r="D6" s="578"/>
      <c r="E6" s="644"/>
      <c r="F6" s="664"/>
      <c r="G6" s="47">
        <f>F78</f>
        <v>310.56</v>
      </c>
      <c r="H6" s="7">
        <f>E6-G6+E7+E5-G5</f>
        <v>0</v>
      </c>
    </row>
    <row r="7" spans="1:9" ht="15.75" thickBot="1" x14ac:dyDescent="0.3">
      <c r="B7" s="19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13</v>
      </c>
      <c r="D9" s="68">
        <v>310.56</v>
      </c>
      <c r="E9" s="592">
        <v>45124</v>
      </c>
      <c r="F9" s="565">
        <f t="shared" ref="F9:F10" si="0">D9</f>
        <v>310.56</v>
      </c>
      <c r="G9" s="563" t="s">
        <v>620</v>
      </c>
      <c r="H9" s="564">
        <v>68</v>
      </c>
      <c r="I9" s="82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92"/>
      <c r="F11" s="1518">
        <f>D11</f>
        <v>0</v>
      </c>
      <c r="G11" s="1519"/>
      <c r="H11" s="1520"/>
      <c r="I11" s="149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92"/>
      <c r="F12" s="1518">
        <f>D12</f>
        <v>0</v>
      </c>
      <c r="G12" s="1519"/>
      <c r="H12" s="1520"/>
      <c r="I12" s="149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92"/>
      <c r="F13" s="1518">
        <f t="shared" ref="F13:F73" si="3">D13</f>
        <v>0</v>
      </c>
      <c r="G13" s="1519"/>
      <c r="H13" s="1520"/>
      <c r="I13" s="149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92"/>
      <c r="F14" s="1518">
        <f t="shared" si="3"/>
        <v>0</v>
      </c>
      <c r="G14" s="1519"/>
      <c r="H14" s="1520"/>
      <c r="I14" s="149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92"/>
      <c r="F15" s="565">
        <f t="shared" si="3"/>
        <v>0</v>
      </c>
      <c r="G15" s="563"/>
      <c r="H15" s="564"/>
      <c r="I15" s="59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565">
        <f t="shared" si="3"/>
        <v>0</v>
      </c>
      <c r="G16" s="563"/>
      <c r="H16" s="564"/>
      <c r="I16" s="59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1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13</v>
      </c>
      <c r="D78" s="6">
        <f>SUM(D9:D77)</f>
        <v>310.56</v>
      </c>
      <c r="F78" s="6">
        <f>SUM(F9:F77)</f>
        <v>310.56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65" t="s">
        <v>11</v>
      </c>
      <c r="D83" s="1666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C13" sqref="B12:C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68" t="s">
        <v>337</v>
      </c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661" t="s">
        <v>352</v>
      </c>
      <c r="B5" s="1661" t="s">
        <v>353</v>
      </c>
      <c r="C5" s="362">
        <v>66</v>
      </c>
      <c r="D5" s="578">
        <v>45122</v>
      </c>
      <c r="E5" s="713">
        <v>1224.22</v>
      </c>
      <c r="F5" s="664">
        <v>40</v>
      </c>
      <c r="G5" s="5"/>
    </row>
    <row r="6" spans="1:9" ht="20.25" customHeight="1" x14ac:dyDescent="0.25">
      <c r="A6" s="1661"/>
      <c r="B6" s="1661"/>
      <c r="C6" s="216"/>
      <c r="D6" s="578"/>
      <c r="E6" s="644"/>
      <c r="F6" s="664"/>
      <c r="G6" s="47">
        <f>F78</f>
        <v>1224.22</v>
      </c>
      <c r="H6" s="7">
        <f>E6-G6+E7+E5-G5</f>
        <v>0</v>
      </c>
    </row>
    <row r="7" spans="1:9" ht="15.75" thickBot="1" x14ac:dyDescent="0.3">
      <c r="A7" s="594"/>
      <c r="B7" s="973"/>
      <c r="C7" s="441"/>
      <c r="D7" s="578"/>
      <c r="E7" s="565"/>
      <c r="F7" s="57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>
        <v>40</v>
      </c>
      <c r="D9" s="68">
        <v>1224.22</v>
      </c>
      <c r="E9" s="592">
        <v>45122</v>
      </c>
      <c r="F9" s="565">
        <f t="shared" ref="F9:F10" si="0">D9</f>
        <v>1224.22</v>
      </c>
      <c r="G9" s="563" t="s">
        <v>607</v>
      </c>
      <c r="H9" s="564">
        <v>68</v>
      </c>
      <c r="I9" s="822">
        <f>E6-F9+E5+E7+E4</f>
        <v>0</v>
      </c>
    </row>
    <row r="10" spans="1:9" x14ac:dyDescent="0.25">
      <c r="A10" s="185"/>
      <c r="B10" s="82">
        <f>B9-C10</f>
        <v>0</v>
      </c>
      <c r="C10" s="15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65"/>
      <c r="E11" s="592"/>
      <c r="F11" s="565">
        <f>D11</f>
        <v>0</v>
      </c>
      <c r="G11" s="563"/>
      <c r="H11" s="564"/>
      <c r="I11" s="59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65"/>
      <c r="E12" s="592"/>
      <c r="F12" s="1518">
        <f>D12</f>
        <v>0</v>
      </c>
      <c r="G12" s="1519"/>
      <c r="H12" s="1520"/>
      <c r="I12" s="149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65"/>
      <c r="E13" s="592"/>
      <c r="F13" s="1518">
        <f t="shared" ref="F13:F73" si="3">D13</f>
        <v>0</v>
      </c>
      <c r="G13" s="1519"/>
      <c r="H13" s="1520"/>
      <c r="I13" s="1494">
        <f t="shared" si="2"/>
        <v>0</v>
      </c>
    </row>
    <row r="14" spans="1:9" x14ac:dyDescent="0.25">
      <c r="A14" s="1155"/>
      <c r="B14" s="82">
        <f t="shared" si="1"/>
        <v>0</v>
      </c>
      <c r="C14" s="15"/>
      <c r="D14" s="565"/>
      <c r="E14" s="592"/>
      <c r="F14" s="1518">
        <f t="shared" si="3"/>
        <v>0</v>
      </c>
      <c r="G14" s="1519"/>
      <c r="H14" s="1520"/>
      <c r="I14" s="1494">
        <f t="shared" si="2"/>
        <v>0</v>
      </c>
    </row>
    <row r="15" spans="1:9" x14ac:dyDescent="0.25">
      <c r="A15" s="1155"/>
      <c r="B15" s="82">
        <f t="shared" si="1"/>
        <v>0</v>
      </c>
      <c r="C15" s="15"/>
      <c r="D15" s="565"/>
      <c r="E15" s="592"/>
      <c r="F15" s="1518">
        <f t="shared" si="3"/>
        <v>0</v>
      </c>
      <c r="G15" s="1519"/>
      <c r="H15" s="1520"/>
      <c r="I15" s="149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92"/>
      <c r="F16" s="1518">
        <f t="shared" si="3"/>
        <v>0</v>
      </c>
      <c r="G16" s="1519"/>
      <c r="H16" s="1520"/>
      <c r="I16" s="149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92"/>
      <c r="F17" s="565">
        <f t="shared" si="3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92"/>
      <c r="F18" s="565">
        <f t="shared" si="3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40</v>
      </c>
      <c r="D78" s="6">
        <f>SUM(D9:D77)</f>
        <v>1224.22</v>
      </c>
      <c r="F78" s="6">
        <f>SUM(F9:F77)</f>
        <v>1224.22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65" t="s">
        <v>11</v>
      </c>
      <c r="D83" s="1666"/>
      <c r="E83" s="56">
        <f>E5+E6-F78+E7</f>
        <v>0</v>
      </c>
      <c r="F83" s="1155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U53"/>
  <sheetViews>
    <sheetView topLeftCell="I1" zoomScaleNormal="100" workbookViewId="0">
      <pane ySplit="8" topLeftCell="A9" activePane="bottomLeft" state="frozen"/>
      <selection activeCell="K1" sqref="K1"/>
      <selection pane="bottomLeft" activeCell="T5" sqref="T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53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53"/>
  </cols>
  <sheetData>
    <row r="1" spans="1:21" ht="40.5" x14ac:dyDescent="0.55000000000000004">
      <c r="A1" s="1663" t="s">
        <v>310</v>
      </c>
      <c r="B1" s="1663"/>
      <c r="C1" s="1663"/>
      <c r="D1" s="1663"/>
      <c r="E1" s="1663"/>
      <c r="F1" s="1663"/>
      <c r="G1" s="1663"/>
      <c r="H1" s="11">
        <v>1</v>
      </c>
      <c r="K1" s="1668" t="s">
        <v>346</v>
      </c>
      <c r="L1" s="1668"/>
      <c r="M1" s="1668"/>
      <c r="N1" s="1668"/>
      <c r="O1" s="1668"/>
      <c r="P1" s="1668"/>
      <c r="Q1" s="1668"/>
      <c r="R1" s="11">
        <v>2</v>
      </c>
    </row>
    <row r="2" spans="1:21" ht="15.75" thickBot="1" x14ac:dyDescent="0.3">
      <c r="C2" s="12"/>
      <c r="D2" s="12"/>
      <c r="F2" s="12"/>
      <c r="M2" s="12"/>
      <c r="N2" s="12"/>
      <c r="P2" s="12"/>
    </row>
    <row r="3" spans="1:2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1" ht="15.75" thickTop="1" x14ac:dyDescent="0.25">
      <c r="A4" s="12"/>
      <c r="B4" s="12"/>
      <c r="C4" s="216"/>
      <c r="D4" s="130"/>
      <c r="E4" s="68"/>
      <c r="F4" s="1146"/>
      <c r="G4" s="151"/>
      <c r="H4" s="151"/>
      <c r="K4" s="12"/>
      <c r="L4" s="12"/>
      <c r="M4" s="216"/>
      <c r="N4" s="130"/>
      <c r="O4" s="68"/>
      <c r="P4" s="1225"/>
      <c r="Q4" s="151"/>
      <c r="R4" s="151"/>
    </row>
    <row r="5" spans="1:21" ht="15" customHeight="1" x14ac:dyDescent="0.25">
      <c r="A5" s="1671" t="s">
        <v>107</v>
      </c>
      <c r="B5" s="1672" t="s">
        <v>61</v>
      </c>
      <c r="C5" s="362">
        <v>88</v>
      </c>
      <c r="D5" s="130">
        <v>45098</v>
      </c>
      <c r="E5" s="197">
        <v>503.45</v>
      </c>
      <c r="F5" s="61">
        <v>42</v>
      </c>
      <c r="G5" s="5"/>
      <c r="K5" s="1671" t="s">
        <v>107</v>
      </c>
      <c r="L5" s="1672" t="s">
        <v>61</v>
      </c>
      <c r="M5" s="362">
        <v>85</v>
      </c>
      <c r="N5" s="130">
        <v>45119</v>
      </c>
      <c r="O5" s="197">
        <v>993.12</v>
      </c>
      <c r="P5" s="61">
        <v>84</v>
      </c>
      <c r="Q5" s="5"/>
    </row>
    <row r="6" spans="1:21" x14ac:dyDescent="0.25">
      <c r="A6" s="1671"/>
      <c r="B6" s="1672"/>
      <c r="C6" s="442">
        <v>88</v>
      </c>
      <c r="D6" s="130">
        <v>45103</v>
      </c>
      <c r="E6" s="68">
        <v>305.32</v>
      </c>
      <c r="F6" s="1146">
        <v>26</v>
      </c>
      <c r="G6" s="47">
        <f>F48</f>
        <v>808.77</v>
      </c>
      <c r="H6" s="7">
        <f>E6-G6+E7+E5-G5</f>
        <v>0</v>
      </c>
      <c r="K6" s="1671"/>
      <c r="L6" s="1672"/>
      <c r="M6" s="442"/>
      <c r="N6" s="130"/>
      <c r="O6" s="68"/>
      <c r="P6" s="1225"/>
      <c r="Q6" s="47">
        <f>P48</f>
        <v>586.54</v>
      </c>
      <c r="R6" s="7">
        <f>O6-Q6+O7+O5-Q5</f>
        <v>406.58000000000004</v>
      </c>
    </row>
    <row r="7" spans="1:21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21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1" ht="15.75" thickTop="1" x14ac:dyDescent="0.25">
      <c r="A9" s="79" t="s">
        <v>32</v>
      </c>
      <c r="B9" s="676">
        <f>F6-C9+F5+F7+F4</f>
        <v>58</v>
      </c>
      <c r="C9" s="1207">
        <v>10</v>
      </c>
      <c r="D9" s="1041">
        <v>117.78</v>
      </c>
      <c r="E9" s="1042">
        <v>45098</v>
      </c>
      <c r="F9" s="1041">
        <f t="shared" ref="F9:F10" si="0">D9</f>
        <v>117.78</v>
      </c>
      <c r="G9" s="1043" t="s">
        <v>217</v>
      </c>
      <c r="H9" s="1044">
        <v>90</v>
      </c>
      <c r="I9" s="596">
        <f>E6-F9+E5+E7+E4</f>
        <v>690.99</v>
      </c>
      <c r="K9" s="79" t="s">
        <v>32</v>
      </c>
      <c r="L9" s="676">
        <f>P6-M9+P5+P7+P4</f>
        <v>79</v>
      </c>
      <c r="M9" s="1207">
        <v>5</v>
      </c>
      <c r="N9" s="1041">
        <v>57.25</v>
      </c>
      <c r="O9" s="1042">
        <v>45120</v>
      </c>
      <c r="P9" s="1041">
        <f t="shared" ref="P9:P10" si="1">N9</f>
        <v>57.25</v>
      </c>
      <c r="Q9" s="1043" t="s">
        <v>587</v>
      </c>
      <c r="R9" s="1044">
        <v>90</v>
      </c>
      <c r="S9" s="596">
        <f>O6-P9+O5+O7+O4</f>
        <v>935.87</v>
      </c>
    </row>
    <row r="10" spans="1:21" x14ac:dyDescent="0.25">
      <c r="A10" s="185"/>
      <c r="B10" s="676">
        <f>B9-C10</f>
        <v>57</v>
      </c>
      <c r="C10" s="1207">
        <v>1</v>
      </c>
      <c r="D10" s="1041">
        <v>12.89</v>
      </c>
      <c r="E10" s="1042">
        <v>45099</v>
      </c>
      <c r="F10" s="1041">
        <f t="shared" si="0"/>
        <v>12.89</v>
      </c>
      <c r="G10" s="1043" t="s">
        <v>249</v>
      </c>
      <c r="H10" s="1044">
        <v>90</v>
      </c>
      <c r="I10" s="596">
        <f>I9-F10</f>
        <v>678.1</v>
      </c>
      <c r="J10" s="594"/>
      <c r="K10" s="185"/>
      <c r="L10" s="676">
        <f>L9-M10</f>
        <v>78</v>
      </c>
      <c r="M10" s="1207">
        <v>1</v>
      </c>
      <c r="N10" s="1041">
        <v>11.87</v>
      </c>
      <c r="O10" s="1042">
        <v>45121</v>
      </c>
      <c r="P10" s="1041">
        <f t="shared" si="1"/>
        <v>11.87</v>
      </c>
      <c r="Q10" s="1043" t="s">
        <v>600</v>
      </c>
      <c r="R10" s="1044">
        <v>90</v>
      </c>
      <c r="S10" s="596">
        <f>S9-P10</f>
        <v>924</v>
      </c>
    </row>
    <row r="11" spans="1:21" x14ac:dyDescent="0.25">
      <c r="A11" s="174"/>
      <c r="B11" s="676">
        <f t="shared" ref="B11:B45" si="2">B10-C11</f>
        <v>42</v>
      </c>
      <c r="C11" s="1207">
        <v>15</v>
      </c>
      <c r="D11" s="1041">
        <v>181.08</v>
      </c>
      <c r="E11" s="1042">
        <v>45099</v>
      </c>
      <c r="F11" s="1041">
        <f>D11</f>
        <v>181.08</v>
      </c>
      <c r="G11" s="1043" t="s">
        <v>250</v>
      </c>
      <c r="H11" s="1044">
        <v>90</v>
      </c>
      <c r="I11" s="596">
        <f t="shared" ref="I11:I45" si="3">I10-F11</f>
        <v>497.02</v>
      </c>
      <c r="J11" s="594"/>
      <c r="K11" s="174"/>
      <c r="L11" s="676">
        <f t="shared" ref="L11:L45" si="4">L10-M11</f>
        <v>77</v>
      </c>
      <c r="M11" s="1207">
        <v>1</v>
      </c>
      <c r="N11" s="1041">
        <v>10.82</v>
      </c>
      <c r="O11" s="1042">
        <v>45121</v>
      </c>
      <c r="P11" s="1041">
        <f>N11</f>
        <v>10.82</v>
      </c>
      <c r="Q11" s="1043" t="s">
        <v>602</v>
      </c>
      <c r="R11" s="1044">
        <v>90</v>
      </c>
      <c r="S11" s="596">
        <f t="shared" ref="S11:S45" si="5">S10-P11</f>
        <v>913.18</v>
      </c>
      <c r="T11" s="594"/>
      <c r="U11" s="594"/>
    </row>
    <row r="12" spans="1:21" x14ac:dyDescent="0.25">
      <c r="A12" s="174"/>
      <c r="B12" s="676">
        <f t="shared" si="2"/>
        <v>34</v>
      </c>
      <c r="C12" s="1207">
        <v>8</v>
      </c>
      <c r="D12" s="1041">
        <v>93.45</v>
      </c>
      <c r="E12" s="1042">
        <v>45101</v>
      </c>
      <c r="F12" s="1041">
        <f t="shared" ref="F12:F46" si="6">D12</f>
        <v>93.45</v>
      </c>
      <c r="G12" s="1043" t="s">
        <v>257</v>
      </c>
      <c r="H12" s="1044">
        <v>90</v>
      </c>
      <c r="I12" s="596">
        <f t="shared" si="3"/>
        <v>403.57</v>
      </c>
      <c r="J12" s="594"/>
      <c r="K12" s="174"/>
      <c r="L12" s="676">
        <f t="shared" si="4"/>
        <v>71</v>
      </c>
      <c r="M12" s="1207">
        <v>6</v>
      </c>
      <c r="N12" s="1041">
        <v>68.180000000000007</v>
      </c>
      <c r="O12" s="1042">
        <v>45122</v>
      </c>
      <c r="P12" s="1041">
        <f t="shared" ref="P12:P46" si="7">N12</f>
        <v>68.180000000000007</v>
      </c>
      <c r="Q12" s="1043" t="s">
        <v>613</v>
      </c>
      <c r="R12" s="1044">
        <v>90</v>
      </c>
      <c r="S12" s="596">
        <f t="shared" si="5"/>
        <v>845</v>
      </c>
      <c r="T12" s="594"/>
      <c r="U12" s="594"/>
    </row>
    <row r="13" spans="1:21" x14ac:dyDescent="0.25">
      <c r="A13" s="81" t="s">
        <v>33</v>
      </c>
      <c r="B13" s="958">
        <f t="shared" si="2"/>
        <v>26</v>
      </c>
      <c r="C13" s="1207">
        <v>8</v>
      </c>
      <c r="D13" s="1041">
        <v>98.25</v>
      </c>
      <c r="E13" s="1042">
        <v>45101</v>
      </c>
      <c r="F13" s="1041">
        <f t="shared" si="6"/>
        <v>98.25</v>
      </c>
      <c r="G13" s="1043" t="s">
        <v>262</v>
      </c>
      <c r="H13" s="1044">
        <v>90</v>
      </c>
      <c r="I13" s="959">
        <f t="shared" si="3"/>
        <v>305.32</v>
      </c>
      <c r="J13" s="594"/>
      <c r="K13" s="81" t="s">
        <v>33</v>
      </c>
      <c r="L13" s="958">
        <f t="shared" si="4"/>
        <v>66</v>
      </c>
      <c r="M13" s="1207">
        <v>5</v>
      </c>
      <c r="N13" s="1041">
        <v>56.84</v>
      </c>
      <c r="O13" s="1042">
        <v>45125</v>
      </c>
      <c r="P13" s="1041">
        <f t="shared" si="7"/>
        <v>56.84</v>
      </c>
      <c r="Q13" s="1043" t="s">
        <v>634</v>
      </c>
      <c r="R13" s="1044">
        <v>90</v>
      </c>
      <c r="S13" s="959">
        <f t="shared" si="5"/>
        <v>788.16</v>
      </c>
      <c r="T13" s="594"/>
      <c r="U13" s="594"/>
    </row>
    <row r="14" spans="1:21" x14ac:dyDescent="0.25">
      <c r="A14" s="1146"/>
      <c r="B14" s="1252">
        <f t="shared" si="2"/>
        <v>11</v>
      </c>
      <c r="C14" s="1207">
        <v>15</v>
      </c>
      <c r="D14" s="1041">
        <v>176.81</v>
      </c>
      <c r="E14" s="1042">
        <v>45103</v>
      </c>
      <c r="F14" s="1041">
        <f t="shared" si="6"/>
        <v>176.81</v>
      </c>
      <c r="G14" s="1043" t="s">
        <v>268</v>
      </c>
      <c r="H14" s="1044">
        <v>90</v>
      </c>
      <c r="I14" s="1251">
        <f t="shared" si="3"/>
        <v>128.51</v>
      </c>
      <c r="J14" s="594"/>
      <c r="K14" s="1225"/>
      <c r="L14" s="958">
        <f t="shared" si="4"/>
        <v>56</v>
      </c>
      <c r="M14" s="1207">
        <v>10</v>
      </c>
      <c r="N14" s="1041">
        <v>116.24</v>
      </c>
      <c r="O14" s="1042">
        <v>45126</v>
      </c>
      <c r="P14" s="1041">
        <f t="shared" si="7"/>
        <v>116.24</v>
      </c>
      <c r="Q14" s="1043" t="s">
        <v>643</v>
      </c>
      <c r="R14" s="1044">
        <v>90</v>
      </c>
      <c r="S14" s="959">
        <f t="shared" si="5"/>
        <v>671.92</v>
      </c>
      <c r="T14" s="594"/>
      <c r="U14" s="594"/>
    </row>
    <row r="15" spans="1:21" x14ac:dyDescent="0.25">
      <c r="A15" s="1146"/>
      <c r="B15" s="958">
        <f t="shared" si="2"/>
        <v>11</v>
      </c>
      <c r="C15" s="1207"/>
      <c r="D15" s="1041"/>
      <c r="E15" s="1042"/>
      <c r="F15" s="1041">
        <f t="shared" si="6"/>
        <v>0</v>
      </c>
      <c r="G15" s="1043"/>
      <c r="H15" s="1044"/>
      <c r="I15" s="959">
        <f t="shared" si="3"/>
        <v>128.51</v>
      </c>
      <c r="J15" s="594"/>
      <c r="K15" s="1225"/>
      <c r="L15" s="958">
        <f t="shared" si="4"/>
        <v>50</v>
      </c>
      <c r="M15" s="1207">
        <v>6</v>
      </c>
      <c r="N15" s="1041">
        <v>71.8</v>
      </c>
      <c r="O15" s="1042">
        <v>45129</v>
      </c>
      <c r="P15" s="1041">
        <f t="shared" si="7"/>
        <v>71.8</v>
      </c>
      <c r="Q15" s="1043" t="s">
        <v>671</v>
      </c>
      <c r="R15" s="1044">
        <v>90</v>
      </c>
      <c r="S15" s="959">
        <f t="shared" si="5"/>
        <v>600.12</v>
      </c>
      <c r="T15" s="594"/>
      <c r="U15" s="594"/>
    </row>
    <row r="16" spans="1:21" x14ac:dyDescent="0.25">
      <c r="B16" s="958">
        <f t="shared" si="2"/>
        <v>1</v>
      </c>
      <c r="C16" s="1207">
        <v>10</v>
      </c>
      <c r="D16" s="1325">
        <v>116.51</v>
      </c>
      <c r="E16" s="1326">
        <v>45117</v>
      </c>
      <c r="F16" s="1325">
        <f t="shared" si="6"/>
        <v>116.51</v>
      </c>
      <c r="G16" s="1327" t="s">
        <v>552</v>
      </c>
      <c r="H16" s="1328">
        <v>90</v>
      </c>
      <c r="I16" s="959">
        <f t="shared" si="3"/>
        <v>11.999999999999986</v>
      </c>
      <c r="J16" s="594"/>
      <c r="L16" s="958">
        <f t="shared" si="4"/>
        <v>44</v>
      </c>
      <c r="M16" s="1207">
        <v>6</v>
      </c>
      <c r="N16" s="1041">
        <v>73.319999999999993</v>
      </c>
      <c r="O16" s="1042">
        <v>45131</v>
      </c>
      <c r="P16" s="1041">
        <f t="shared" si="7"/>
        <v>73.319999999999993</v>
      </c>
      <c r="Q16" s="1043" t="s">
        <v>679</v>
      </c>
      <c r="R16" s="1044">
        <v>90</v>
      </c>
      <c r="S16" s="959">
        <f t="shared" si="5"/>
        <v>526.79999999999995</v>
      </c>
      <c r="T16" s="594"/>
      <c r="U16" s="594"/>
    </row>
    <row r="17" spans="1:21" x14ac:dyDescent="0.25">
      <c r="B17" s="958">
        <f t="shared" si="2"/>
        <v>0</v>
      </c>
      <c r="C17" s="1207">
        <v>1</v>
      </c>
      <c r="D17" s="1325">
        <v>12</v>
      </c>
      <c r="E17" s="1326">
        <v>45118</v>
      </c>
      <c r="F17" s="1325">
        <f t="shared" si="6"/>
        <v>12</v>
      </c>
      <c r="G17" s="1327" t="s">
        <v>571</v>
      </c>
      <c r="H17" s="1328">
        <v>90</v>
      </c>
      <c r="I17" s="959">
        <f t="shared" si="3"/>
        <v>-1.4210854715202004E-14</v>
      </c>
      <c r="L17" s="958">
        <f t="shared" si="4"/>
        <v>34</v>
      </c>
      <c r="M17" s="1207">
        <v>10</v>
      </c>
      <c r="N17" s="1041">
        <v>120.22</v>
      </c>
      <c r="O17" s="1042">
        <v>45136</v>
      </c>
      <c r="P17" s="1041">
        <f t="shared" si="7"/>
        <v>120.22</v>
      </c>
      <c r="Q17" s="1043" t="s">
        <v>727</v>
      </c>
      <c r="R17" s="1044">
        <v>90</v>
      </c>
      <c r="S17" s="959">
        <f t="shared" si="5"/>
        <v>406.57999999999993</v>
      </c>
      <c r="T17" s="594"/>
      <c r="U17" s="594"/>
    </row>
    <row r="18" spans="1:21" x14ac:dyDescent="0.25">
      <c r="A18" s="118"/>
      <c r="B18" s="958">
        <f t="shared" si="2"/>
        <v>0</v>
      </c>
      <c r="C18" s="1207"/>
      <c r="D18" s="1325"/>
      <c r="E18" s="1326"/>
      <c r="F18" s="1506">
        <v>0</v>
      </c>
      <c r="G18" s="1507"/>
      <c r="H18" s="1508"/>
      <c r="I18" s="1509">
        <f t="shared" si="3"/>
        <v>-1.4210854715202004E-14</v>
      </c>
      <c r="K18" s="118"/>
      <c r="L18" s="958">
        <f t="shared" si="4"/>
        <v>34</v>
      </c>
      <c r="M18" s="1207"/>
      <c r="N18" s="1041"/>
      <c r="O18" s="1042"/>
      <c r="P18" s="1041">
        <f t="shared" si="7"/>
        <v>0</v>
      </c>
      <c r="Q18" s="1043"/>
      <c r="R18" s="1044"/>
      <c r="S18" s="959">
        <f t="shared" si="5"/>
        <v>406.57999999999993</v>
      </c>
      <c r="T18" s="594"/>
      <c r="U18" s="594"/>
    </row>
    <row r="19" spans="1:21" x14ac:dyDescent="0.25">
      <c r="A19" s="118"/>
      <c r="B19" s="958">
        <f t="shared" si="2"/>
        <v>0</v>
      </c>
      <c r="C19" s="1207"/>
      <c r="D19" s="1325"/>
      <c r="E19" s="1326"/>
      <c r="F19" s="1506">
        <f t="shared" si="6"/>
        <v>0</v>
      </c>
      <c r="G19" s="1507"/>
      <c r="H19" s="1508"/>
      <c r="I19" s="1509">
        <f t="shared" si="3"/>
        <v>-1.4210854715202004E-14</v>
      </c>
      <c r="K19" s="118"/>
      <c r="L19" s="958">
        <f t="shared" si="4"/>
        <v>34</v>
      </c>
      <c r="M19" s="1207"/>
      <c r="N19" s="1041"/>
      <c r="O19" s="1042"/>
      <c r="P19" s="1041">
        <f t="shared" si="7"/>
        <v>0</v>
      </c>
      <c r="Q19" s="1043"/>
      <c r="R19" s="1044"/>
      <c r="S19" s="959">
        <f t="shared" si="5"/>
        <v>406.57999999999993</v>
      </c>
      <c r="T19" s="594"/>
      <c r="U19" s="594"/>
    </row>
    <row r="20" spans="1:21" x14ac:dyDescent="0.25">
      <c r="A20" s="118"/>
      <c r="B20" s="958">
        <f t="shared" si="2"/>
        <v>0</v>
      </c>
      <c r="C20" s="1207"/>
      <c r="D20" s="1325"/>
      <c r="E20" s="1326"/>
      <c r="F20" s="1506">
        <f t="shared" si="6"/>
        <v>0</v>
      </c>
      <c r="G20" s="1507"/>
      <c r="H20" s="1508"/>
      <c r="I20" s="1509">
        <f t="shared" si="3"/>
        <v>-1.4210854715202004E-14</v>
      </c>
      <c r="K20" s="118"/>
      <c r="L20" s="958">
        <f t="shared" si="4"/>
        <v>34</v>
      </c>
      <c r="M20" s="1207"/>
      <c r="N20" s="1041"/>
      <c r="O20" s="1042"/>
      <c r="P20" s="1041">
        <f t="shared" si="7"/>
        <v>0</v>
      </c>
      <c r="Q20" s="1043"/>
      <c r="R20" s="1044"/>
      <c r="S20" s="959">
        <f t="shared" si="5"/>
        <v>406.57999999999993</v>
      </c>
    </row>
    <row r="21" spans="1:21" x14ac:dyDescent="0.25">
      <c r="A21" s="118"/>
      <c r="B21" s="676">
        <f t="shared" si="2"/>
        <v>0</v>
      </c>
      <c r="C21" s="1207"/>
      <c r="D21" s="1325"/>
      <c r="E21" s="1326"/>
      <c r="F21" s="1506">
        <f t="shared" si="6"/>
        <v>0</v>
      </c>
      <c r="G21" s="1507"/>
      <c r="H21" s="1508"/>
      <c r="I21" s="1494">
        <f t="shared" si="3"/>
        <v>-1.4210854715202004E-14</v>
      </c>
      <c r="K21" s="118"/>
      <c r="L21" s="676">
        <f t="shared" si="4"/>
        <v>34</v>
      </c>
      <c r="M21" s="1207"/>
      <c r="N21" s="1041"/>
      <c r="O21" s="1042"/>
      <c r="P21" s="1041">
        <f t="shared" si="7"/>
        <v>0</v>
      </c>
      <c r="Q21" s="1043"/>
      <c r="R21" s="1044"/>
      <c r="S21" s="596">
        <f t="shared" si="5"/>
        <v>406.57999999999993</v>
      </c>
    </row>
    <row r="22" spans="1:21" x14ac:dyDescent="0.25">
      <c r="A22" s="118"/>
      <c r="B22" s="719">
        <f t="shared" si="2"/>
        <v>0</v>
      </c>
      <c r="C22" s="1207"/>
      <c r="D22" s="1325"/>
      <c r="E22" s="1326"/>
      <c r="F22" s="1506">
        <f t="shared" si="6"/>
        <v>0</v>
      </c>
      <c r="G22" s="1507"/>
      <c r="H22" s="1508"/>
      <c r="I22" s="1494">
        <f t="shared" si="3"/>
        <v>-1.4210854715202004E-14</v>
      </c>
      <c r="K22" s="118"/>
      <c r="L22" s="719">
        <f t="shared" si="4"/>
        <v>34</v>
      </c>
      <c r="M22" s="1207"/>
      <c r="N22" s="1041"/>
      <c r="O22" s="1042"/>
      <c r="P22" s="1041">
        <f t="shared" si="7"/>
        <v>0</v>
      </c>
      <c r="Q22" s="1043"/>
      <c r="R22" s="1044"/>
      <c r="S22" s="596">
        <f t="shared" si="5"/>
        <v>406.57999999999993</v>
      </c>
    </row>
    <row r="23" spans="1:21" x14ac:dyDescent="0.25">
      <c r="A23" s="119"/>
      <c r="B23" s="219">
        <f t="shared" si="2"/>
        <v>0</v>
      </c>
      <c r="C23" s="1208"/>
      <c r="D23" s="1329"/>
      <c r="E23" s="1330"/>
      <c r="F23" s="1325">
        <f t="shared" si="6"/>
        <v>0</v>
      </c>
      <c r="G23" s="1331"/>
      <c r="H23" s="1332"/>
      <c r="I23" s="596">
        <f t="shared" si="3"/>
        <v>-1.4210854715202004E-14</v>
      </c>
      <c r="K23" s="119"/>
      <c r="L23" s="219">
        <f t="shared" si="4"/>
        <v>34</v>
      </c>
      <c r="M23" s="1208"/>
      <c r="N23" s="1527"/>
      <c r="O23" s="1528"/>
      <c r="P23" s="1041">
        <f t="shared" si="7"/>
        <v>0</v>
      </c>
      <c r="Q23" s="1529"/>
      <c r="R23" s="210"/>
      <c r="S23" s="596">
        <f t="shared" si="5"/>
        <v>406.57999999999993</v>
      </c>
    </row>
    <row r="24" spans="1:21" x14ac:dyDescent="0.25">
      <c r="A24" s="118"/>
      <c r="B24" s="219">
        <f t="shared" si="2"/>
        <v>0</v>
      </c>
      <c r="C24" s="1208"/>
      <c r="D24" s="1329"/>
      <c r="E24" s="1330"/>
      <c r="F24" s="1325">
        <f t="shared" si="6"/>
        <v>0</v>
      </c>
      <c r="G24" s="1331"/>
      <c r="H24" s="1332"/>
      <c r="I24" s="596">
        <f t="shared" si="3"/>
        <v>-1.4210854715202004E-14</v>
      </c>
      <c r="K24" s="118"/>
      <c r="L24" s="219">
        <f t="shared" si="4"/>
        <v>34</v>
      </c>
      <c r="M24" s="1208"/>
      <c r="N24" s="1527"/>
      <c r="O24" s="1528"/>
      <c r="P24" s="1041">
        <f t="shared" si="7"/>
        <v>0</v>
      </c>
      <c r="Q24" s="1529"/>
      <c r="R24" s="210"/>
      <c r="S24" s="596">
        <f t="shared" si="5"/>
        <v>406.57999999999993</v>
      </c>
    </row>
    <row r="25" spans="1:21" x14ac:dyDescent="0.25">
      <c r="A25" s="118"/>
      <c r="B25" s="219">
        <f t="shared" si="2"/>
        <v>0</v>
      </c>
      <c r="C25" s="1208"/>
      <c r="D25" s="1329"/>
      <c r="E25" s="1330"/>
      <c r="F25" s="1325">
        <f t="shared" si="6"/>
        <v>0</v>
      </c>
      <c r="G25" s="1331"/>
      <c r="H25" s="1332"/>
      <c r="I25" s="596">
        <f t="shared" si="3"/>
        <v>-1.4210854715202004E-14</v>
      </c>
      <c r="K25" s="118"/>
      <c r="L25" s="219">
        <f t="shared" si="4"/>
        <v>34</v>
      </c>
      <c r="M25" s="1208"/>
      <c r="N25" s="1527"/>
      <c r="O25" s="1528"/>
      <c r="P25" s="1041">
        <f t="shared" si="7"/>
        <v>0</v>
      </c>
      <c r="Q25" s="1529"/>
      <c r="R25" s="210"/>
      <c r="S25" s="596">
        <f t="shared" si="5"/>
        <v>406.57999999999993</v>
      </c>
    </row>
    <row r="26" spans="1:21" x14ac:dyDescent="0.25">
      <c r="A26" s="118"/>
      <c r="B26" s="174">
        <f t="shared" si="2"/>
        <v>0</v>
      </c>
      <c r="C26" s="1208"/>
      <c r="D26" s="1329"/>
      <c r="E26" s="1330"/>
      <c r="F26" s="1325">
        <f t="shared" si="6"/>
        <v>0</v>
      </c>
      <c r="G26" s="1331"/>
      <c r="H26" s="1332"/>
      <c r="I26" s="596">
        <f t="shared" si="3"/>
        <v>-1.4210854715202004E-14</v>
      </c>
      <c r="K26" s="118"/>
      <c r="L26" s="174">
        <f t="shared" si="4"/>
        <v>34</v>
      </c>
      <c r="M26" s="1208"/>
      <c r="N26" s="1527"/>
      <c r="O26" s="1528"/>
      <c r="P26" s="1041">
        <f t="shared" si="7"/>
        <v>0</v>
      </c>
      <c r="Q26" s="1529"/>
      <c r="R26" s="210"/>
      <c r="S26" s="596">
        <f t="shared" si="5"/>
        <v>406.57999999999993</v>
      </c>
    </row>
    <row r="27" spans="1:21" x14ac:dyDescent="0.25">
      <c r="A27" s="118"/>
      <c r="B27" s="219">
        <f t="shared" si="2"/>
        <v>0</v>
      </c>
      <c r="C27" s="1208"/>
      <c r="D27" s="1329"/>
      <c r="E27" s="1330"/>
      <c r="F27" s="1325">
        <f t="shared" si="6"/>
        <v>0</v>
      </c>
      <c r="G27" s="1331"/>
      <c r="H27" s="1332"/>
      <c r="I27" s="596">
        <f t="shared" si="3"/>
        <v>-1.4210854715202004E-14</v>
      </c>
      <c r="K27" s="118"/>
      <c r="L27" s="219">
        <f t="shared" si="4"/>
        <v>34</v>
      </c>
      <c r="M27" s="1208"/>
      <c r="N27" s="1527"/>
      <c r="O27" s="1528"/>
      <c r="P27" s="1041">
        <f t="shared" si="7"/>
        <v>0</v>
      </c>
      <c r="Q27" s="1529"/>
      <c r="R27" s="210"/>
      <c r="S27" s="596">
        <f t="shared" si="5"/>
        <v>406.57999999999993</v>
      </c>
    </row>
    <row r="28" spans="1:21" x14ac:dyDescent="0.25">
      <c r="A28" s="118"/>
      <c r="B28" s="174">
        <f t="shared" si="2"/>
        <v>0</v>
      </c>
      <c r="C28" s="1208"/>
      <c r="D28" s="1329"/>
      <c r="E28" s="1330"/>
      <c r="F28" s="1325">
        <f t="shared" si="6"/>
        <v>0</v>
      </c>
      <c r="G28" s="1331"/>
      <c r="H28" s="1332"/>
      <c r="I28" s="596">
        <f t="shared" si="3"/>
        <v>-1.4210854715202004E-14</v>
      </c>
      <c r="K28" s="118"/>
      <c r="L28" s="174">
        <f t="shared" si="4"/>
        <v>34</v>
      </c>
      <c r="M28" s="1208"/>
      <c r="N28" s="1527"/>
      <c r="O28" s="1528"/>
      <c r="P28" s="1041">
        <f t="shared" si="7"/>
        <v>0</v>
      </c>
      <c r="Q28" s="1529"/>
      <c r="R28" s="210"/>
      <c r="S28" s="596">
        <f t="shared" si="5"/>
        <v>406.57999999999993</v>
      </c>
    </row>
    <row r="29" spans="1:21" x14ac:dyDescent="0.25">
      <c r="A29" s="118"/>
      <c r="B29" s="219">
        <f t="shared" si="2"/>
        <v>0</v>
      </c>
      <c r="C29" s="1208"/>
      <c r="D29" s="1329"/>
      <c r="E29" s="1330"/>
      <c r="F29" s="1325">
        <f t="shared" si="6"/>
        <v>0</v>
      </c>
      <c r="G29" s="1331"/>
      <c r="H29" s="1332"/>
      <c r="I29" s="596">
        <f t="shared" si="3"/>
        <v>-1.4210854715202004E-14</v>
      </c>
      <c r="K29" s="118"/>
      <c r="L29" s="219">
        <f t="shared" si="4"/>
        <v>34</v>
      </c>
      <c r="M29" s="1208"/>
      <c r="N29" s="1527"/>
      <c r="O29" s="1528"/>
      <c r="P29" s="1041">
        <f t="shared" si="7"/>
        <v>0</v>
      </c>
      <c r="Q29" s="1529"/>
      <c r="R29" s="210"/>
      <c r="S29" s="596">
        <f t="shared" si="5"/>
        <v>406.57999999999993</v>
      </c>
    </row>
    <row r="30" spans="1:21" x14ac:dyDescent="0.25">
      <c r="A30" s="118"/>
      <c r="B30" s="219">
        <f t="shared" si="2"/>
        <v>0</v>
      </c>
      <c r="C30" s="1208"/>
      <c r="D30" s="1329"/>
      <c r="E30" s="1330"/>
      <c r="F30" s="1325">
        <f t="shared" si="6"/>
        <v>0</v>
      </c>
      <c r="G30" s="1331"/>
      <c r="H30" s="1332"/>
      <c r="I30" s="596">
        <f t="shared" si="3"/>
        <v>-1.4210854715202004E-14</v>
      </c>
      <c r="K30" s="118"/>
      <c r="L30" s="219">
        <f t="shared" si="4"/>
        <v>34</v>
      </c>
      <c r="M30" s="1208"/>
      <c r="N30" s="1527"/>
      <c r="O30" s="1528"/>
      <c r="P30" s="1041">
        <f t="shared" si="7"/>
        <v>0</v>
      </c>
      <c r="Q30" s="1529"/>
      <c r="R30" s="210"/>
      <c r="S30" s="596">
        <f t="shared" si="5"/>
        <v>406.57999999999993</v>
      </c>
    </row>
    <row r="31" spans="1:21" x14ac:dyDescent="0.25">
      <c r="A31" s="118"/>
      <c r="B31" s="219">
        <f t="shared" si="2"/>
        <v>0</v>
      </c>
      <c r="C31" s="1208"/>
      <c r="D31" s="1329"/>
      <c r="E31" s="1330"/>
      <c r="F31" s="1325">
        <f t="shared" si="6"/>
        <v>0</v>
      </c>
      <c r="G31" s="1331"/>
      <c r="H31" s="1332"/>
      <c r="I31" s="596">
        <f t="shared" si="3"/>
        <v>-1.4210854715202004E-14</v>
      </c>
      <c r="K31" s="118"/>
      <c r="L31" s="219">
        <f t="shared" si="4"/>
        <v>34</v>
      </c>
      <c r="M31" s="1208"/>
      <c r="N31" s="1527"/>
      <c r="O31" s="1528"/>
      <c r="P31" s="1041">
        <f t="shared" si="7"/>
        <v>0</v>
      </c>
      <c r="Q31" s="1529"/>
      <c r="R31" s="210"/>
      <c r="S31" s="596">
        <f t="shared" si="5"/>
        <v>406.57999999999993</v>
      </c>
    </row>
    <row r="32" spans="1:21" x14ac:dyDescent="0.25">
      <c r="A32" s="118"/>
      <c r="B32" s="219">
        <f t="shared" si="2"/>
        <v>0</v>
      </c>
      <c r="C32" s="1208"/>
      <c r="D32" s="1329"/>
      <c r="E32" s="1330"/>
      <c r="F32" s="1325">
        <f t="shared" si="6"/>
        <v>0</v>
      </c>
      <c r="G32" s="1331"/>
      <c r="H32" s="1332"/>
      <c r="I32" s="596">
        <f t="shared" si="3"/>
        <v>-1.4210854715202004E-14</v>
      </c>
      <c r="K32" s="118"/>
      <c r="L32" s="219">
        <f t="shared" si="4"/>
        <v>34</v>
      </c>
      <c r="M32" s="1208"/>
      <c r="N32" s="1349"/>
      <c r="O32" s="1350"/>
      <c r="P32" s="1348">
        <f t="shared" si="7"/>
        <v>0</v>
      </c>
      <c r="Q32" s="1351"/>
      <c r="R32" s="1352"/>
      <c r="S32" s="596">
        <f t="shared" si="5"/>
        <v>406.57999999999993</v>
      </c>
    </row>
    <row r="33" spans="1:19" x14ac:dyDescent="0.25">
      <c r="A33" s="118"/>
      <c r="B33" s="219">
        <f t="shared" si="2"/>
        <v>0</v>
      </c>
      <c r="C33" s="1208"/>
      <c r="D33" s="1329"/>
      <c r="E33" s="1330"/>
      <c r="F33" s="1325">
        <f t="shared" si="6"/>
        <v>0</v>
      </c>
      <c r="G33" s="1331"/>
      <c r="H33" s="1332"/>
      <c r="I33" s="596">
        <f t="shared" si="3"/>
        <v>-1.4210854715202004E-14</v>
      </c>
      <c r="K33" s="118"/>
      <c r="L33" s="219">
        <f t="shared" si="4"/>
        <v>34</v>
      </c>
      <c r="M33" s="1208"/>
      <c r="N33" s="1349"/>
      <c r="O33" s="1350"/>
      <c r="P33" s="1348">
        <f t="shared" si="7"/>
        <v>0</v>
      </c>
      <c r="Q33" s="1351"/>
      <c r="R33" s="1352"/>
      <c r="S33" s="596">
        <f t="shared" si="5"/>
        <v>406.57999999999993</v>
      </c>
    </row>
    <row r="34" spans="1:19" x14ac:dyDescent="0.25">
      <c r="A34" s="118"/>
      <c r="B34" s="219">
        <f t="shared" si="2"/>
        <v>0</v>
      </c>
      <c r="C34" s="1208"/>
      <c r="D34" s="1329"/>
      <c r="E34" s="1330"/>
      <c r="F34" s="1325">
        <f t="shared" si="6"/>
        <v>0</v>
      </c>
      <c r="G34" s="1331"/>
      <c r="H34" s="1332"/>
      <c r="I34" s="596">
        <f t="shared" si="3"/>
        <v>-1.4210854715202004E-14</v>
      </c>
      <c r="K34" s="118"/>
      <c r="L34" s="219">
        <f t="shared" si="4"/>
        <v>34</v>
      </c>
      <c r="M34" s="1208"/>
      <c r="N34" s="1349"/>
      <c r="O34" s="1350"/>
      <c r="P34" s="1348">
        <f t="shared" si="7"/>
        <v>0</v>
      </c>
      <c r="Q34" s="1351"/>
      <c r="R34" s="1352"/>
      <c r="S34" s="596">
        <f t="shared" si="5"/>
        <v>406.57999999999993</v>
      </c>
    </row>
    <row r="35" spans="1:19" x14ac:dyDescent="0.25">
      <c r="A35" s="118"/>
      <c r="B35" s="219">
        <f t="shared" si="2"/>
        <v>0</v>
      </c>
      <c r="C35" s="1208"/>
      <c r="D35" s="1329"/>
      <c r="E35" s="1330"/>
      <c r="F35" s="1325">
        <f t="shared" si="6"/>
        <v>0</v>
      </c>
      <c r="G35" s="1331"/>
      <c r="H35" s="1332"/>
      <c r="I35" s="596">
        <f t="shared" si="3"/>
        <v>-1.4210854715202004E-14</v>
      </c>
      <c r="K35" s="118"/>
      <c r="L35" s="219">
        <f t="shared" si="4"/>
        <v>34</v>
      </c>
      <c r="M35" s="1208"/>
      <c r="N35" s="1349"/>
      <c r="O35" s="1350"/>
      <c r="P35" s="1348">
        <f t="shared" si="7"/>
        <v>0</v>
      </c>
      <c r="Q35" s="1351"/>
      <c r="R35" s="1352"/>
      <c r="S35" s="596">
        <f t="shared" si="5"/>
        <v>406.57999999999993</v>
      </c>
    </row>
    <row r="36" spans="1:19" x14ac:dyDescent="0.25">
      <c r="A36" s="118" t="s">
        <v>22</v>
      </c>
      <c r="B36" s="219">
        <f t="shared" si="2"/>
        <v>0</v>
      </c>
      <c r="C36" s="1208"/>
      <c r="D36" s="1329"/>
      <c r="E36" s="1330"/>
      <c r="F36" s="1325">
        <f t="shared" si="6"/>
        <v>0</v>
      </c>
      <c r="G36" s="1331"/>
      <c r="H36" s="1332"/>
      <c r="I36" s="596">
        <f t="shared" si="3"/>
        <v>-1.4210854715202004E-14</v>
      </c>
      <c r="K36" s="118" t="s">
        <v>22</v>
      </c>
      <c r="L36" s="219">
        <f t="shared" si="4"/>
        <v>34</v>
      </c>
      <c r="M36" s="1208"/>
      <c r="N36" s="1349"/>
      <c r="O36" s="1350"/>
      <c r="P36" s="1348">
        <f t="shared" si="7"/>
        <v>0</v>
      </c>
      <c r="Q36" s="1351"/>
      <c r="R36" s="1352"/>
      <c r="S36" s="596">
        <f t="shared" si="5"/>
        <v>406.57999999999993</v>
      </c>
    </row>
    <row r="37" spans="1:19" x14ac:dyDescent="0.25">
      <c r="A37" s="119"/>
      <c r="B37" s="219">
        <f t="shared" si="2"/>
        <v>0</v>
      </c>
      <c r="C37" s="1208"/>
      <c r="D37" s="1329"/>
      <c r="E37" s="1330"/>
      <c r="F37" s="1325">
        <f t="shared" si="6"/>
        <v>0</v>
      </c>
      <c r="G37" s="1331"/>
      <c r="H37" s="1332"/>
      <c r="I37" s="596">
        <f t="shared" si="3"/>
        <v>-1.4210854715202004E-14</v>
      </c>
      <c r="K37" s="119"/>
      <c r="L37" s="219">
        <f t="shared" si="4"/>
        <v>34</v>
      </c>
      <c r="M37" s="1208"/>
      <c r="N37" s="1349"/>
      <c r="O37" s="1350"/>
      <c r="P37" s="1348">
        <f t="shared" si="7"/>
        <v>0</v>
      </c>
      <c r="Q37" s="1351"/>
      <c r="R37" s="1352"/>
      <c r="S37" s="596">
        <f t="shared" si="5"/>
        <v>406.57999999999993</v>
      </c>
    </row>
    <row r="38" spans="1:19" x14ac:dyDescent="0.25">
      <c r="A38" s="118"/>
      <c r="B38" s="219">
        <f t="shared" si="2"/>
        <v>0</v>
      </c>
      <c r="C38" s="1208"/>
      <c r="D38" s="1329"/>
      <c r="E38" s="1330"/>
      <c r="F38" s="1325">
        <f t="shared" si="6"/>
        <v>0</v>
      </c>
      <c r="G38" s="1331"/>
      <c r="H38" s="1332"/>
      <c r="I38" s="596">
        <f t="shared" si="3"/>
        <v>-1.4210854715202004E-14</v>
      </c>
      <c r="K38" s="118"/>
      <c r="L38" s="219">
        <f t="shared" si="4"/>
        <v>34</v>
      </c>
      <c r="M38" s="1208"/>
      <c r="N38" s="1349"/>
      <c r="O38" s="1350"/>
      <c r="P38" s="1348">
        <f t="shared" si="7"/>
        <v>0</v>
      </c>
      <c r="Q38" s="1351"/>
      <c r="R38" s="1352"/>
      <c r="S38" s="596">
        <f t="shared" si="5"/>
        <v>406.57999999999993</v>
      </c>
    </row>
    <row r="39" spans="1:19" x14ac:dyDescent="0.25">
      <c r="A39" s="118"/>
      <c r="B39" s="82">
        <f t="shared" si="2"/>
        <v>0</v>
      </c>
      <c r="C39" s="1208"/>
      <c r="D39" s="68"/>
      <c r="E39" s="191"/>
      <c r="F39" s="1041">
        <f t="shared" si="6"/>
        <v>0</v>
      </c>
      <c r="G39" s="69"/>
      <c r="H39" s="70"/>
      <c r="I39" s="596">
        <f t="shared" si="3"/>
        <v>-1.4210854715202004E-14</v>
      </c>
      <c r="K39" s="118"/>
      <c r="L39" s="82">
        <f t="shared" si="4"/>
        <v>34</v>
      </c>
      <c r="M39" s="1208"/>
      <c r="N39" s="1349"/>
      <c r="O39" s="1350"/>
      <c r="P39" s="1348">
        <f t="shared" si="7"/>
        <v>0</v>
      </c>
      <c r="Q39" s="1351"/>
      <c r="R39" s="1352"/>
      <c r="S39" s="596">
        <f t="shared" si="5"/>
        <v>406.57999999999993</v>
      </c>
    </row>
    <row r="40" spans="1:19" x14ac:dyDescent="0.25">
      <c r="A40" s="118"/>
      <c r="B40" s="82">
        <f t="shared" si="2"/>
        <v>0</v>
      </c>
      <c r="C40" s="1208"/>
      <c r="D40" s="68"/>
      <c r="E40" s="191"/>
      <c r="F40" s="1041">
        <f t="shared" si="6"/>
        <v>0</v>
      </c>
      <c r="G40" s="69"/>
      <c r="H40" s="70"/>
      <c r="I40" s="596">
        <f t="shared" si="3"/>
        <v>-1.4210854715202004E-14</v>
      </c>
      <c r="K40" s="118"/>
      <c r="L40" s="82">
        <f t="shared" si="4"/>
        <v>34</v>
      </c>
      <c r="M40" s="1208"/>
      <c r="N40" s="1349"/>
      <c r="O40" s="1350"/>
      <c r="P40" s="1348">
        <f t="shared" si="7"/>
        <v>0</v>
      </c>
      <c r="Q40" s="1351"/>
      <c r="R40" s="1352"/>
      <c r="S40" s="596">
        <f t="shared" si="5"/>
        <v>406.57999999999993</v>
      </c>
    </row>
    <row r="41" spans="1:19" x14ac:dyDescent="0.25">
      <c r="A41" s="118"/>
      <c r="B41" s="82">
        <f t="shared" si="2"/>
        <v>0</v>
      </c>
      <c r="C41" s="1208"/>
      <c r="D41" s="68"/>
      <c r="E41" s="191"/>
      <c r="F41" s="1041">
        <f t="shared" si="6"/>
        <v>0</v>
      </c>
      <c r="G41" s="69"/>
      <c r="H41" s="70"/>
      <c r="I41" s="596">
        <f t="shared" si="3"/>
        <v>-1.4210854715202004E-14</v>
      </c>
      <c r="K41" s="118"/>
      <c r="L41" s="82">
        <f t="shared" si="4"/>
        <v>34</v>
      </c>
      <c r="M41" s="1208"/>
      <c r="N41" s="68"/>
      <c r="O41" s="191"/>
      <c r="P41" s="1041">
        <f t="shared" si="7"/>
        <v>0</v>
      </c>
      <c r="Q41" s="69"/>
      <c r="R41" s="70"/>
      <c r="S41" s="596">
        <f t="shared" si="5"/>
        <v>406.57999999999993</v>
      </c>
    </row>
    <row r="42" spans="1:19" x14ac:dyDescent="0.25">
      <c r="A42" s="118"/>
      <c r="B42" s="82">
        <f t="shared" si="2"/>
        <v>0</v>
      </c>
      <c r="C42" s="1208"/>
      <c r="D42" s="68"/>
      <c r="E42" s="191"/>
      <c r="F42" s="1041">
        <f t="shared" si="6"/>
        <v>0</v>
      </c>
      <c r="G42" s="69"/>
      <c r="H42" s="70"/>
      <c r="I42" s="596">
        <f t="shared" si="3"/>
        <v>-1.4210854715202004E-14</v>
      </c>
      <c r="K42" s="118"/>
      <c r="L42" s="82">
        <f t="shared" si="4"/>
        <v>34</v>
      </c>
      <c r="M42" s="1208"/>
      <c r="N42" s="68"/>
      <c r="O42" s="191"/>
      <c r="P42" s="1041">
        <f t="shared" si="7"/>
        <v>0</v>
      </c>
      <c r="Q42" s="69"/>
      <c r="R42" s="70"/>
      <c r="S42" s="596">
        <f t="shared" si="5"/>
        <v>406.57999999999993</v>
      </c>
    </row>
    <row r="43" spans="1:19" x14ac:dyDescent="0.25">
      <c r="A43" s="118"/>
      <c r="B43" s="82">
        <f t="shared" si="2"/>
        <v>0</v>
      </c>
      <c r="C43" s="1208"/>
      <c r="D43" s="68"/>
      <c r="E43" s="191"/>
      <c r="F43" s="1041">
        <f t="shared" si="6"/>
        <v>0</v>
      </c>
      <c r="G43" s="69"/>
      <c r="H43" s="70"/>
      <c r="I43" s="596">
        <f t="shared" si="3"/>
        <v>-1.4210854715202004E-14</v>
      </c>
      <c r="K43" s="118"/>
      <c r="L43" s="82">
        <f t="shared" si="4"/>
        <v>34</v>
      </c>
      <c r="M43" s="1208"/>
      <c r="N43" s="68"/>
      <c r="O43" s="191"/>
      <c r="P43" s="1041">
        <f t="shared" si="7"/>
        <v>0</v>
      </c>
      <c r="Q43" s="69"/>
      <c r="R43" s="70"/>
      <c r="S43" s="596">
        <f t="shared" si="5"/>
        <v>406.57999999999993</v>
      </c>
    </row>
    <row r="44" spans="1:19" x14ac:dyDescent="0.25">
      <c r="A44" s="118"/>
      <c r="B44" s="82">
        <f t="shared" si="2"/>
        <v>0</v>
      </c>
      <c r="C44" s="1208"/>
      <c r="D44" s="68"/>
      <c r="E44" s="191"/>
      <c r="F44" s="1041">
        <f t="shared" si="6"/>
        <v>0</v>
      </c>
      <c r="G44" s="69"/>
      <c r="H44" s="70"/>
      <c r="I44" s="596">
        <f t="shared" si="3"/>
        <v>-1.4210854715202004E-14</v>
      </c>
      <c r="K44" s="118"/>
      <c r="L44" s="82">
        <f t="shared" si="4"/>
        <v>34</v>
      </c>
      <c r="M44" s="1208"/>
      <c r="N44" s="68"/>
      <c r="O44" s="191"/>
      <c r="P44" s="1041">
        <f t="shared" si="7"/>
        <v>0</v>
      </c>
      <c r="Q44" s="69"/>
      <c r="R44" s="70"/>
      <c r="S44" s="596">
        <f t="shared" si="5"/>
        <v>406.57999999999993</v>
      </c>
    </row>
    <row r="45" spans="1:19" ht="14.25" customHeight="1" x14ac:dyDescent="0.25">
      <c r="A45" s="118"/>
      <c r="B45" s="82">
        <f t="shared" si="2"/>
        <v>0</v>
      </c>
      <c r="C45" s="1208"/>
      <c r="D45" s="68"/>
      <c r="E45" s="191"/>
      <c r="F45" s="1041">
        <f t="shared" si="6"/>
        <v>0</v>
      </c>
      <c r="G45" s="69"/>
      <c r="H45" s="70"/>
      <c r="I45" s="596">
        <f t="shared" si="3"/>
        <v>-1.4210854715202004E-14</v>
      </c>
      <c r="K45" s="118"/>
      <c r="L45" s="82">
        <f t="shared" si="4"/>
        <v>34</v>
      </c>
      <c r="M45" s="1208"/>
      <c r="N45" s="68"/>
      <c r="O45" s="191"/>
      <c r="P45" s="1041">
        <f t="shared" si="7"/>
        <v>0</v>
      </c>
      <c r="Q45" s="69"/>
      <c r="R45" s="70"/>
      <c r="S45" s="596">
        <f t="shared" si="5"/>
        <v>406.57999999999993</v>
      </c>
    </row>
    <row r="46" spans="1:19" x14ac:dyDescent="0.25">
      <c r="A46" s="118"/>
      <c r="C46" s="1208"/>
      <c r="D46" s="58"/>
      <c r="E46" s="198"/>
      <c r="F46" s="1041">
        <f t="shared" si="6"/>
        <v>0</v>
      </c>
      <c r="G46" s="69"/>
      <c r="H46" s="70"/>
      <c r="I46" s="596" t="e">
        <f>#REF!-F46</f>
        <v>#REF!</v>
      </c>
      <c r="K46" s="118"/>
      <c r="M46" s="1208"/>
      <c r="N46" s="58"/>
      <c r="O46" s="198"/>
      <c r="P46" s="1041">
        <f t="shared" si="7"/>
        <v>0</v>
      </c>
      <c r="Q46" s="69"/>
      <c r="R46" s="70"/>
      <c r="S46" s="59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68</v>
      </c>
      <c r="D48" s="6">
        <f>SUM(D9:D47)</f>
        <v>808.77</v>
      </c>
      <c r="F48" s="6">
        <f>SUM(F9:F47)</f>
        <v>808.77</v>
      </c>
      <c r="M48" s="53">
        <f>SUM(M9:M47)</f>
        <v>50</v>
      </c>
      <c r="N48" s="6">
        <f>SUM(N9:N47)</f>
        <v>586.54</v>
      </c>
      <c r="P48" s="6">
        <f>SUM(P9:P47)</f>
        <v>586.54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34</v>
      </c>
    </row>
    <row r="52" spans="3:16" ht="15.75" thickBot="1" x14ac:dyDescent="0.3"/>
    <row r="53" spans="3:16" ht="15.75" thickBot="1" x14ac:dyDescent="0.3">
      <c r="C53" s="1665" t="s">
        <v>11</v>
      </c>
      <c r="D53" s="1666"/>
      <c r="E53" s="56">
        <f>E5+E6-F48+E7</f>
        <v>0</v>
      </c>
      <c r="F53" s="1146"/>
      <c r="M53" s="1665" t="s">
        <v>11</v>
      </c>
      <c r="N53" s="1666"/>
      <c r="O53" s="56">
        <f>O5+O6-P48+O7</f>
        <v>406.58000000000004</v>
      </c>
      <c r="P53" s="1225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68"/>
      <c r="B1" s="1668"/>
      <c r="C1" s="1668"/>
      <c r="D1" s="1668"/>
      <c r="E1" s="1668"/>
      <c r="F1" s="1668"/>
      <c r="G1" s="1668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2"/>
      <c r="D4" s="578"/>
      <c r="E4" s="692"/>
      <c r="F4" s="664"/>
      <c r="G4" s="151"/>
      <c r="H4" s="151"/>
    </row>
    <row r="5" spans="1:9" ht="15.75" customHeight="1" x14ac:dyDescent="0.25">
      <c r="A5" s="213"/>
      <c r="B5" s="1673"/>
      <c r="C5" s="507"/>
      <c r="D5" s="712"/>
      <c r="E5" s="644"/>
      <c r="F5" s="664"/>
      <c r="G5" s="5"/>
    </row>
    <row r="6" spans="1:9" x14ac:dyDescent="0.25">
      <c r="A6" s="213"/>
      <c r="B6" s="1673"/>
      <c r="C6" s="362"/>
      <c r="D6" s="578"/>
      <c r="E6" s="713"/>
      <c r="F6" s="664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2"/>
      <c r="D7" s="578"/>
      <c r="E7" s="714"/>
      <c r="F7" s="66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76">
        <f>F6-C9+F5+F7+F4</f>
        <v>0</v>
      </c>
      <c r="C9" s="752"/>
      <c r="D9" s="565"/>
      <c r="E9" s="592"/>
      <c r="F9" s="565">
        <f t="shared" ref="F9:F40" si="0">D9</f>
        <v>0</v>
      </c>
      <c r="G9" s="563"/>
      <c r="H9" s="564"/>
      <c r="I9" s="596">
        <f>E6-F9+E5+E7+E4</f>
        <v>0</v>
      </c>
    </row>
    <row r="10" spans="1:9" x14ac:dyDescent="0.25">
      <c r="A10" s="185"/>
      <c r="B10" s="676">
        <f>B9-C10</f>
        <v>0</v>
      </c>
      <c r="C10" s="752"/>
      <c r="D10" s="565"/>
      <c r="E10" s="592"/>
      <c r="F10" s="565">
        <f t="shared" si="0"/>
        <v>0</v>
      </c>
      <c r="G10" s="563"/>
      <c r="H10" s="564"/>
      <c r="I10" s="596">
        <f>I9-F10</f>
        <v>0</v>
      </c>
    </row>
    <row r="11" spans="1:9" x14ac:dyDescent="0.25">
      <c r="A11" s="174"/>
      <c r="B11" s="676">
        <f t="shared" ref="B11:B40" si="1">B10-C11</f>
        <v>0</v>
      </c>
      <c r="C11" s="752"/>
      <c r="D11" s="565"/>
      <c r="E11" s="592"/>
      <c r="F11" s="565">
        <f t="shared" si="0"/>
        <v>0</v>
      </c>
      <c r="G11" s="563"/>
      <c r="H11" s="564"/>
      <c r="I11" s="596">
        <f t="shared" ref="I11:I40" si="2">I10-F11</f>
        <v>0</v>
      </c>
    </row>
    <row r="12" spans="1:9" x14ac:dyDescent="0.25">
      <c r="A12" s="174"/>
      <c r="B12" s="676">
        <f t="shared" si="1"/>
        <v>0</v>
      </c>
      <c r="C12" s="752"/>
      <c r="D12" s="565"/>
      <c r="E12" s="592"/>
      <c r="F12" s="565">
        <f t="shared" si="0"/>
        <v>0</v>
      </c>
      <c r="G12" s="563"/>
      <c r="H12" s="564"/>
      <c r="I12" s="596">
        <f t="shared" si="2"/>
        <v>0</v>
      </c>
    </row>
    <row r="13" spans="1:9" x14ac:dyDescent="0.25">
      <c r="A13" s="81" t="s">
        <v>33</v>
      </c>
      <c r="B13" s="676">
        <f t="shared" si="1"/>
        <v>0</v>
      </c>
      <c r="C13" s="752"/>
      <c r="D13" s="565"/>
      <c r="E13" s="592"/>
      <c r="F13" s="565">
        <f t="shared" si="0"/>
        <v>0</v>
      </c>
      <c r="G13" s="563"/>
      <c r="H13" s="564"/>
      <c r="I13" s="596">
        <f t="shared" si="2"/>
        <v>0</v>
      </c>
    </row>
    <row r="14" spans="1:9" x14ac:dyDescent="0.25">
      <c r="A14" s="72"/>
      <c r="B14" s="676">
        <f t="shared" si="1"/>
        <v>0</v>
      </c>
      <c r="C14" s="752"/>
      <c r="D14" s="565"/>
      <c r="E14" s="592"/>
      <c r="F14" s="565">
        <f t="shared" si="0"/>
        <v>0</v>
      </c>
      <c r="G14" s="563"/>
      <c r="H14" s="564"/>
      <c r="I14" s="596">
        <f t="shared" si="2"/>
        <v>0</v>
      </c>
    </row>
    <row r="15" spans="1:9" x14ac:dyDescent="0.25">
      <c r="A15" s="72"/>
      <c r="B15" s="676">
        <f t="shared" si="1"/>
        <v>0</v>
      </c>
      <c r="C15" s="752"/>
      <c r="D15" s="565"/>
      <c r="E15" s="592"/>
      <c r="F15" s="565">
        <f t="shared" si="0"/>
        <v>0</v>
      </c>
      <c r="G15" s="563"/>
      <c r="H15" s="564"/>
      <c r="I15" s="596">
        <f t="shared" si="2"/>
        <v>0</v>
      </c>
    </row>
    <row r="16" spans="1:9" x14ac:dyDescent="0.25">
      <c r="B16" s="676">
        <f t="shared" si="1"/>
        <v>0</v>
      </c>
      <c r="C16" s="752"/>
      <c r="D16" s="565"/>
      <c r="E16" s="592"/>
      <c r="F16" s="565">
        <f t="shared" si="0"/>
        <v>0</v>
      </c>
      <c r="G16" s="563"/>
      <c r="H16" s="564"/>
      <c r="I16" s="596">
        <f t="shared" si="2"/>
        <v>0</v>
      </c>
    </row>
    <row r="17" spans="1:9" x14ac:dyDescent="0.25">
      <c r="B17" s="676">
        <f t="shared" si="1"/>
        <v>0</v>
      </c>
      <c r="C17" s="752"/>
      <c r="D17" s="565"/>
      <c r="E17" s="592"/>
      <c r="F17" s="565">
        <f t="shared" si="0"/>
        <v>0</v>
      </c>
      <c r="G17" s="563"/>
      <c r="H17" s="564"/>
      <c r="I17" s="596">
        <f t="shared" si="2"/>
        <v>0</v>
      </c>
    </row>
    <row r="18" spans="1:9" x14ac:dyDescent="0.25">
      <c r="A18" s="118"/>
      <c r="B18" s="676">
        <f t="shared" si="1"/>
        <v>0</v>
      </c>
      <c r="C18" s="752"/>
      <c r="D18" s="565"/>
      <c r="E18" s="592"/>
      <c r="F18" s="565">
        <f t="shared" si="0"/>
        <v>0</v>
      </c>
      <c r="G18" s="563"/>
      <c r="H18" s="564"/>
      <c r="I18" s="596">
        <f t="shared" si="2"/>
        <v>0</v>
      </c>
    </row>
    <row r="19" spans="1:9" x14ac:dyDescent="0.25">
      <c r="A19" s="118"/>
      <c r="B19" s="676">
        <f t="shared" si="1"/>
        <v>0</v>
      </c>
      <c r="C19" s="752"/>
      <c r="D19" s="565"/>
      <c r="E19" s="592"/>
      <c r="F19" s="565">
        <f t="shared" si="0"/>
        <v>0</v>
      </c>
      <c r="G19" s="563"/>
      <c r="H19" s="564"/>
      <c r="I19" s="596">
        <f t="shared" si="2"/>
        <v>0</v>
      </c>
    </row>
    <row r="20" spans="1:9" x14ac:dyDescent="0.25">
      <c r="A20" s="118"/>
      <c r="B20" s="676">
        <f t="shared" si="1"/>
        <v>0</v>
      </c>
      <c r="C20" s="752"/>
      <c r="D20" s="565"/>
      <c r="E20" s="592"/>
      <c r="F20" s="565">
        <f t="shared" si="0"/>
        <v>0</v>
      </c>
      <c r="G20" s="563"/>
      <c r="H20" s="564"/>
      <c r="I20" s="596">
        <f t="shared" si="2"/>
        <v>0</v>
      </c>
    </row>
    <row r="21" spans="1:9" x14ac:dyDescent="0.25">
      <c r="A21" s="118"/>
      <c r="B21" s="676">
        <f t="shared" si="1"/>
        <v>0</v>
      </c>
      <c r="C21" s="752"/>
      <c r="D21" s="565"/>
      <c r="E21" s="592"/>
      <c r="F21" s="565">
        <f t="shared" si="0"/>
        <v>0</v>
      </c>
      <c r="G21" s="563"/>
      <c r="H21" s="564"/>
      <c r="I21" s="596">
        <f t="shared" si="2"/>
        <v>0</v>
      </c>
    </row>
    <row r="22" spans="1:9" x14ac:dyDescent="0.25">
      <c r="A22" s="118"/>
      <c r="B22" s="719">
        <f t="shared" si="1"/>
        <v>0</v>
      </c>
      <c r="C22" s="752"/>
      <c r="D22" s="565"/>
      <c r="E22" s="592"/>
      <c r="F22" s="565">
        <f t="shared" si="0"/>
        <v>0</v>
      </c>
      <c r="G22" s="563"/>
      <c r="H22" s="564"/>
      <c r="I22" s="596">
        <f t="shared" si="2"/>
        <v>0</v>
      </c>
    </row>
    <row r="23" spans="1:9" x14ac:dyDescent="0.25">
      <c r="A23" s="119"/>
      <c r="B23" s="719">
        <f t="shared" si="1"/>
        <v>0</v>
      </c>
      <c r="C23" s="752"/>
      <c r="D23" s="565"/>
      <c r="E23" s="592"/>
      <c r="F23" s="565">
        <f t="shared" si="0"/>
        <v>0</v>
      </c>
      <c r="G23" s="563"/>
      <c r="H23" s="564"/>
      <c r="I23" s="596">
        <f t="shared" si="2"/>
        <v>0</v>
      </c>
    </row>
    <row r="24" spans="1:9" x14ac:dyDescent="0.25">
      <c r="A24" s="118"/>
      <c r="B24" s="719">
        <f t="shared" si="1"/>
        <v>0</v>
      </c>
      <c r="C24" s="752"/>
      <c r="D24" s="565"/>
      <c r="E24" s="592"/>
      <c r="F24" s="565">
        <f t="shared" si="0"/>
        <v>0</v>
      </c>
      <c r="G24" s="563"/>
      <c r="H24" s="564"/>
      <c r="I24" s="596">
        <f t="shared" si="2"/>
        <v>0</v>
      </c>
    </row>
    <row r="25" spans="1:9" x14ac:dyDescent="0.25">
      <c r="A25" s="118"/>
      <c r="B25" s="719">
        <f t="shared" si="1"/>
        <v>0</v>
      </c>
      <c r="C25" s="752"/>
      <c r="D25" s="565"/>
      <c r="E25" s="592"/>
      <c r="F25" s="565">
        <f t="shared" si="0"/>
        <v>0</v>
      </c>
      <c r="G25" s="563"/>
      <c r="H25" s="564"/>
      <c r="I25" s="596">
        <f t="shared" si="2"/>
        <v>0</v>
      </c>
    </row>
    <row r="26" spans="1:9" x14ac:dyDescent="0.25">
      <c r="A26" s="118"/>
      <c r="B26" s="670">
        <f t="shared" si="1"/>
        <v>0</v>
      </c>
      <c r="C26" s="752"/>
      <c r="D26" s="565"/>
      <c r="E26" s="592"/>
      <c r="F26" s="565">
        <f t="shared" si="0"/>
        <v>0</v>
      </c>
      <c r="G26" s="563"/>
      <c r="H26" s="564"/>
      <c r="I26" s="596">
        <f t="shared" si="2"/>
        <v>0</v>
      </c>
    </row>
    <row r="27" spans="1:9" x14ac:dyDescent="0.25">
      <c r="A27" s="118"/>
      <c r="B27" s="719">
        <f t="shared" si="1"/>
        <v>0</v>
      </c>
      <c r="C27" s="752"/>
      <c r="D27" s="565"/>
      <c r="E27" s="592"/>
      <c r="F27" s="565">
        <f t="shared" si="0"/>
        <v>0</v>
      </c>
      <c r="G27" s="563"/>
      <c r="H27" s="564"/>
      <c r="I27" s="596">
        <f t="shared" si="2"/>
        <v>0</v>
      </c>
    </row>
    <row r="28" spans="1:9" x14ac:dyDescent="0.25">
      <c r="A28" s="118"/>
      <c r="B28" s="670">
        <f t="shared" si="1"/>
        <v>0</v>
      </c>
      <c r="C28" s="752"/>
      <c r="D28" s="565"/>
      <c r="E28" s="592"/>
      <c r="F28" s="565">
        <f t="shared" si="0"/>
        <v>0</v>
      </c>
      <c r="G28" s="563"/>
      <c r="H28" s="564"/>
      <c r="I28" s="596">
        <f t="shared" si="2"/>
        <v>0</v>
      </c>
    </row>
    <row r="29" spans="1:9" x14ac:dyDescent="0.25">
      <c r="A29" s="118"/>
      <c r="B29" s="719">
        <f t="shared" si="1"/>
        <v>0</v>
      </c>
      <c r="C29" s="752"/>
      <c r="D29" s="565"/>
      <c r="E29" s="592"/>
      <c r="F29" s="565">
        <f t="shared" si="0"/>
        <v>0</v>
      </c>
      <c r="G29" s="563"/>
      <c r="H29" s="564"/>
      <c r="I29" s="596">
        <f t="shared" si="2"/>
        <v>0</v>
      </c>
    </row>
    <row r="30" spans="1:9" x14ac:dyDescent="0.25">
      <c r="A30" s="118"/>
      <c r="B30" s="219">
        <f t="shared" si="1"/>
        <v>0</v>
      </c>
      <c r="C30" s="711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11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11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11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11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11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11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11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11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665" t="s">
        <v>11</v>
      </c>
      <c r="D47" s="1666"/>
      <c r="E47" s="56">
        <f>E5+E6-F42+E7</f>
        <v>0</v>
      </c>
      <c r="F47" s="72"/>
    </row>
    <row r="50" spans="1:7" x14ac:dyDescent="0.25">
      <c r="A50" s="213"/>
      <c r="B50" s="1671"/>
      <c r="C50" s="441"/>
      <c r="D50" s="218"/>
      <c r="E50" s="77"/>
      <c r="F50" s="61"/>
      <c r="G50" s="5"/>
    </row>
    <row r="51" spans="1:7" x14ac:dyDescent="0.25">
      <c r="A51" s="213"/>
      <c r="B51" s="1671"/>
      <c r="C51" s="362"/>
      <c r="D51" s="130"/>
      <c r="E51" s="197"/>
      <c r="F51" s="61"/>
      <c r="G51" s="47"/>
    </row>
    <row r="52" spans="1:7" x14ac:dyDescent="0.25">
      <c r="B52" s="19"/>
      <c r="C52" s="441"/>
      <c r="D52" s="130"/>
      <c r="E52" s="446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3</vt:i4>
      </vt:variant>
    </vt:vector>
  </HeadingPairs>
  <TitlesOfParts>
    <vt:vector size="62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PERNIL CON GRASA      </vt:lpstr>
      <vt:lpstr>Hoja8</vt:lpstr>
      <vt:lpstr>Gráfico1</vt:lpstr>
      <vt:lpstr>Gráfico2</vt:lpstr>
      <vt:lpstr>Gráfico3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2023-10-05T22:01:00Z</dcterms:modified>
</cp:coreProperties>
</file>