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64011"/>
  <bookViews>
    <workbookView xWindow="0" yWindow="0" windowWidth="22260" windowHeight="12648" activeTab="1"/>
  </bookViews>
  <sheets>
    <sheet name="Name &amp; Family Name" sheetId="1" r:id="rId1"/>
    <sheet name="Part A" sheetId="3" r:id="rId2"/>
    <sheet name="Part B,C,D,E,F" sheetId="4" r:id="rId3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3" l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I306" i="4" l="1"/>
  <c r="S51" i="4" l="1"/>
  <c r="B13" i="4" l="1"/>
  <c r="H31" i="3"/>
  <c r="O31" i="3"/>
  <c r="O30" i="3" l="1"/>
  <c r="O32" i="3"/>
  <c r="O33" i="3"/>
  <c r="O34" i="3"/>
  <c r="O35" i="3"/>
  <c r="O36" i="3"/>
  <c r="O37" i="3"/>
  <c r="O38" i="3"/>
  <c r="O39" i="3"/>
  <c r="O40" i="3"/>
  <c r="O41" i="3"/>
  <c r="O42" i="3"/>
  <c r="O43" i="3"/>
  <c r="L37" i="3"/>
  <c r="L29" i="3"/>
  <c r="M38" i="3"/>
  <c r="N33" i="3"/>
  <c r="O29" i="3"/>
  <c r="N29" i="3"/>
  <c r="N30" i="3"/>
  <c r="N31" i="3"/>
  <c r="N32" i="3"/>
  <c r="N34" i="3"/>
  <c r="N35" i="3"/>
  <c r="N36" i="3"/>
  <c r="N37" i="3"/>
  <c r="N38" i="3"/>
  <c r="N39" i="3"/>
  <c r="N40" i="3"/>
  <c r="N41" i="3"/>
  <c r="N42" i="3"/>
  <c r="N43" i="3"/>
  <c r="H29" i="3"/>
  <c r="E29" i="3"/>
  <c r="F29" i="3"/>
  <c r="H8" i="3"/>
  <c r="K98" i="4" l="1"/>
  <c r="P94" i="4"/>
  <c r="P72" i="4"/>
  <c r="Q72" i="4" s="1"/>
  <c r="P51" i="4"/>
  <c r="Q51" i="4" s="1"/>
  <c r="B14" i="4"/>
  <c r="B4" i="4"/>
  <c r="J19" i="4" s="1"/>
  <c r="B3" i="4"/>
  <c r="B2" i="4"/>
  <c r="G5" i="4" s="1"/>
  <c r="M28" i="3"/>
  <c r="L30" i="3"/>
  <c r="L31" i="3"/>
  <c r="L32" i="3"/>
  <c r="L33" i="3"/>
  <c r="L34" i="3"/>
  <c r="L35" i="3"/>
  <c r="L36" i="3"/>
  <c r="L38" i="3"/>
  <c r="L39" i="3"/>
  <c r="L40" i="3"/>
  <c r="L41" i="3"/>
  <c r="L42" i="3"/>
  <c r="L43" i="3"/>
  <c r="J95" i="4" l="1"/>
  <c r="J96" i="4" s="1"/>
  <c r="H52" i="4"/>
  <c r="H53" i="4" s="1"/>
  <c r="H54" i="4" s="1"/>
  <c r="H55" i="4" s="1"/>
  <c r="L87" i="4"/>
  <c r="H73" i="4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95" i="4"/>
  <c r="H96" i="4" s="1"/>
  <c r="H97" i="4" s="1"/>
  <c r="H98" i="4" s="1"/>
  <c r="L109" i="4"/>
  <c r="I73" i="4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J73" i="4"/>
  <c r="F5" i="4"/>
  <c r="K54" i="4"/>
  <c r="K55" i="4" s="1"/>
  <c r="K56" i="4" s="1"/>
  <c r="K57" i="4" s="1"/>
  <c r="K58" i="4" s="1"/>
  <c r="K30" i="4"/>
  <c r="K31" i="4" s="1"/>
  <c r="K8" i="4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75" i="4"/>
  <c r="G72" i="4"/>
  <c r="I95" i="4"/>
  <c r="I96" i="4" s="1"/>
  <c r="N96" i="4" s="1"/>
  <c r="R96" i="4" s="1"/>
  <c r="S96" i="4" s="1"/>
  <c r="I28" i="4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G94" i="4"/>
  <c r="J14" i="4"/>
  <c r="J97" i="4"/>
  <c r="K99" i="4"/>
  <c r="I52" i="4"/>
  <c r="H6" i="4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J52" i="4"/>
  <c r="J53" i="4" s="1"/>
  <c r="J54" i="4" s="1"/>
  <c r="J6" i="4"/>
  <c r="J10" i="4"/>
  <c r="J12" i="4"/>
  <c r="L20" i="4"/>
  <c r="O56" i="4" s="1"/>
  <c r="G51" i="4"/>
  <c r="G27" i="4"/>
  <c r="L66" i="4"/>
  <c r="L42" i="4"/>
  <c r="H28" i="4"/>
  <c r="H29" i="4" s="1"/>
  <c r="F51" i="4"/>
  <c r="J8" i="4"/>
  <c r="J28" i="4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H56" i="4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J16" i="4"/>
  <c r="J18" i="4"/>
  <c r="J20" i="4"/>
  <c r="J9" i="4"/>
  <c r="J11" i="4"/>
  <c r="E5" i="4"/>
  <c r="J7" i="4"/>
  <c r="J13" i="4"/>
  <c r="J15" i="4"/>
  <c r="J17" i="4"/>
  <c r="I97" i="4" l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N95" i="4"/>
  <c r="R95" i="4" s="1"/>
  <c r="S95" i="4" s="1"/>
  <c r="O81" i="4"/>
  <c r="O79" i="4"/>
  <c r="O87" i="4"/>
  <c r="O58" i="4"/>
  <c r="N28" i="4"/>
  <c r="O28" i="4" s="1"/>
  <c r="O83" i="4"/>
  <c r="O64" i="4"/>
  <c r="O55" i="4"/>
  <c r="O53" i="4"/>
  <c r="F27" i="4"/>
  <c r="F94" i="4"/>
  <c r="O82" i="4"/>
  <c r="O85" i="4"/>
  <c r="O66" i="4"/>
  <c r="O61" i="4"/>
  <c r="O54" i="4"/>
  <c r="O74" i="4"/>
  <c r="O77" i="4"/>
  <c r="O60" i="4"/>
  <c r="O62" i="4"/>
  <c r="O73" i="4"/>
  <c r="P73" i="4" s="1"/>
  <c r="Q73" i="4" s="1"/>
  <c r="O84" i="4"/>
  <c r="O57" i="4"/>
  <c r="K32" i="4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O102" i="4"/>
  <c r="O95" i="4"/>
  <c r="P95" i="4" s="1"/>
  <c r="O103" i="4"/>
  <c r="O96" i="4"/>
  <c r="P96" i="4" s="1"/>
  <c r="O104" i="4"/>
  <c r="O98" i="4"/>
  <c r="O97" i="4"/>
  <c r="P97" i="4" s="1"/>
  <c r="Q97" i="4" s="1"/>
  <c r="O105" i="4"/>
  <c r="O106" i="4"/>
  <c r="O99" i="4"/>
  <c r="O107" i="4"/>
  <c r="O101" i="4"/>
  <c r="O109" i="4"/>
  <c r="O100" i="4"/>
  <c r="O108" i="4"/>
  <c r="N29" i="4"/>
  <c r="O29" i="4" s="1"/>
  <c r="N73" i="4"/>
  <c r="J74" i="4"/>
  <c r="N74" i="4" s="1"/>
  <c r="O80" i="4"/>
  <c r="O76" i="4"/>
  <c r="O65" i="4"/>
  <c r="O59" i="4"/>
  <c r="K76" i="4"/>
  <c r="H85" i="4"/>
  <c r="H86" i="4" s="1"/>
  <c r="H87" i="4" s="1"/>
  <c r="O52" i="4"/>
  <c r="P52" i="4" s="1"/>
  <c r="Q52" i="4" s="1"/>
  <c r="F72" i="4"/>
  <c r="O63" i="4"/>
  <c r="O86" i="4"/>
  <c r="O75" i="4"/>
  <c r="O78" i="4"/>
  <c r="E94" i="4"/>
  <c r="E72" i="4"/>
  <c r="J98" i="4"/>
  <c r="H99" i="4"/>
  <c r="K100" i="4"/>
  <c r="H30" i="4"/>
  <c r="N30" i="4" s="1"/>
  <c r="O30" i="4" s="1"/>
  <c r="I53" i="4"/>
  <c r="N52" i="4"/>
  <c r="E51" i="4"/>
  <c r="N51" i="4" s="1"/>
  <c r="E27" i="4"/>
  <c r="K59" i="4"/>
  <c r="H57" i="4"/>
  <c r="J55" i="4"/>
  <c r="N97" i="4" l="1"/>
  <c r="R97" i="4" s="1"/>
  <c r="S97" i="4" s="1"/>
  <c r="R52" i="4"/>
  <c r="S52" i="4" s="1"/>
  <c r="N27" i="4"/>
  <c r="O27" i="4" s="1"/>
  <c r="R72" i="4"/>
  <c r="S72" i="4" s="1"/>
  <c r="N72" i="4"/>
  <c r="R94" i="4"/>
  <c r="S94" i="4" s="1"/>
  <c r="N94" i="4"/>
  <c r="P74" i="4"/>
  <c r="Q74" i="4" s="1"/>
  <c r="R74" i="4" s="1"/>
  <c r="S74" i="4" s="1"/>
  <c r="J75" i="4"/>
  <c r="N75" i="4" s="1"/>
  <c r="K77" i="4"/>
  <c r="R73" i="4"/>
  <c r="S73" i="4" s="1"/>
  <c r="J99" i="4"/>
  <c r="N99" i="4" s="1"/>
  <c r="P98" i="4"/>
  <c r="Q98" i="4" s="1"/>
  <c r="N98" i="4"/>
  <c r="K101" i="4"/>
  <c r="H100" i="4"/>
  <c r="I54" i="4"/>
  <c r="N53" i="4"/>
  <c r="P53" i="4"/>
  <c r="Q53" i="4" s="1"/>
  <c r="H31" i="4"/>
  <c r="N31" i="4" s="1"/>
  <c r="O31" i="4" s="1"/>
  <c r="H58" i="4"/>
  <c r="J56" i="4"/>
  <c r="K60" i="4"/>
  <c r="J76" i="4" l="1"/>
  <c r="N76" i="4" s="1"/>
  <c r="P75" i="4"/>
  <c r="Q75" i="4" s="1"/>
  <c r="R75" i="4" s="1"/>
  <c r="S75" i="4" s="1"/>
  <c r="R53" i="4"/>
  <c r="S53" i="4" s="1"/>
  <c r="H32" i="4"/>
  <c r="N32" i="4" s="1"/>
  <c r="O32" i="4" s="1"/>
  <c r="K78" i="4"/>
  <c r="R98" i="4"/>
  <c r="S98" i="4" s="1"/>
  <c r="H101" i="4"/>
  <c r="K102" i="4"/>
  <c r="J100" i="4"/>
  <c r="N100" i="4" s="1"/>
  <c r="P99" i="4"/>
  <c r="Q99" i="4" s="1"/>
  <c r="R99" i="4" s="1"/>
  <c r="S99" i="4" s="1"/>
  <c r="I55" i="4"/>
  <c r="P54" i="4"/>
  <c r="Q54" i="4" s="1"/>
  <c r="N54" i="4"/>
  <c r="H59" i="4"/>
  <c r="K61" i="4"/>
  <c r="J57" i="4"/>
  <c r="H33" i="4" l="1"/>
  <c r="N33" i="4" s="1"/>
  <c r="O33" i="4" s="1"/>
  <c r="K79" i="4"/>
  <c r="R54" i="4"/>
  <c r="S54" i="4" s="1"/>
  <c r="J77" i="4"/>
  <c r="N77" i="4" s="1"/>
  <c r="P76" i="4"/>
  <c r="Q76" i="4" s="1"/>
  <c r="R76" i="4" s="1"/>
  <c r="S76" i="4" s="1"/>
  <c r="H102" i="4"/>
  <c r="J101" i="4"/>
  <c r="N101" i="4" s="1"/>
  <c r="P100" i="4"/>
  <c r="Q100" i="4" s="1"/>
  <c r="R100" i="4" s="1"/>
  <c r="S100" i="4" s="1"/>
  <c r="K103" i="4"/>
  <c r="I56" i="4"/>
  <c r="N55" i="4"/>
  <c r="P55" i="4"/>
  <c r="Q55" i="4" s="1"/>
  <c r="J58" i="4"/>
  <c r="H60" i="4"/>
  <c r="K62" i="4"/>
  <c r="H34" i="4" l="1"/>
  <c r="N34" i="4" s="1"/>
  <c r="O34" i="4" s="1"/>
  <c r="K80" i="4"/>
  <c r="J78" i="4"/>
  <c r="N78" i="4" s="1"/>
  <c r="P77" i="4"/>
  <c r="Q77" i="4" s="1"/>
  <c r="R77" i="4" s="1"/>
  <c r="S77" i="4" s="1"/>
  <c r="K104" i="4"/>
  <c r="J102" i="4"/>
  <c r="N102" i="4" s="1"/>
  <c r="P101" i="4"/>
  <c r="Q101" i="4" s="1"/>
  <c r="R101" i="4" s="1"/>
  <c r="S101" i="4" s="1"/>
  <c r="H103" i="4"/>
  <c r="R55" i="4"/>
  <c r="S55" i="4" s="1"/>
  <c r="I57" i="4"/>
  <c r="P56" i="4"/>
  <c r="Q56" i="4" s="1"/>
  <c r="N56" i="4"/>
  <c r="J59" i="4"/>
  <c r="H61" i="4"/>
  <c r="K63" i="4"/>
  <c r="H35" i="4" l="1"/>
  <c r="N35" i="4" s="1"/>
  <c r="O35" i="4" s="1"/>
  <c r="J79" i="4"/>
  <c r="N79" i="4" s="1"/>
  <c r="P78" i="4"/>
  <c r="Q78" i="4" s="1"/>
  <c r="R78" i="4" s="1"/>
  <c r="S78" i="4" s="1"/>
  <c r="K81" i="4"/>
  <c r="K105" i="4"/>
  <c r="H104" i="4"/>
  <c r="J103" i="4"/>
  <c r="P102" i="4"/>
  <c r="Q102" i="4" s="1"/>
  <c r="R102" i="4" s="1"/>
  <c r="S102" i="4" s="1"/>
  <c r="I58" i="4"/>
  <c r="P57" i="4"/>
  <c r="Q57" i="4" s="1"/>
  <c r="N57" i="4"/>
  <c r="R56" i="4"/>
  <c r="S56" i="4" s="1"/>
  <c r="H62" i="4"/>
  <c r="K64" i="4"/>
  <c r="J60" i="4"/>
  <c r="H36" i="4"/>
  <c r="N36" i="4" s="1"/>
  <c r="O36" i="4" s="1"/>
  <c r="K82" i="4" l="1"/>
  <c r="J80" i="4"/>
  <c r="N80" i="4" s="1"/>
  <c r="P79" i="4"/>
  <c r="Q79" i="4" s="1"/>
  <c r="R79" i="4" s="1"/>
  <c r="S79" i="4" s="1"/>
  <c r="J104" i="4"/>
  <c r="P103" i="4"/>
  <c r="Q103" i="4" s="1"/>
  <c r="H105" i="4"/>
  <c r="N103" i="4"/>
  <c r="K106" i="4"/>
  <c r="I59" i="4"/>
  <c r="P58" i="4"/>
  <c r="Q58" i="4" s="1"/>
  <c r="N58" i="4"/>
  <c r="R57" i="4"/>
  <c r="S57" i="4" s="1"/>
  <c r="J61" i="4"/>
  <c r="H63" i="4"/>
  <c r="K65" i="4"/>
  <c r="H37" i="4"/>
  <c r="N37" i="4" s="1"/>
  <c r="O37" i="4" s="1"/>
  <c r="J81" i="4" l="1"/>
  <c r="P80" i="4"/>
  <c r="Q80" i="4" s="1"/>
  <c r="R80" i="4" s="1"/>
  <c r="S80" i="4" s="1"/>
  <c r="K83" i="4"/>
  <c r="R58" i="4"/>
  <c r="S58" i="4" s="1"/>
  <c r="J105" i="4"/>
  <c r="N105" i="4" s="1"/>
  <c r="R105" i="4" s="1"/>
  <c r="S105" i="4" s="1"/>
  <c r="P104" i="4"/>
  <c r="Q104" i="4" s="1"/>
  <c r="R103" i="4"/>
  <c r="S103" i="4" s="1"/>
  <c r="K107" i="4"/>
  <c r="H106" i="4"/>
  <c r="N104" i="4"/>
  <c r="N81" i="4"/>
  <c r="I60" i="4"/>
  <c r="N59" i="4"/>
  <c r="P59" i="4"/>
  <c r="Q59" i="4" s="1"/>
  <c r="K66" i="4"/>
  <c r="H64" i="4"/>
  <c r="J62" i="4"/>
  <c r="H38" i="4"/>
  <c r="N38" i="4" s="1"/>
  <c r="O38" i="4" s="1"/>
  <c r="K84" i="4" l="1"/>
  <c r="J82" i="4"/>
  <c r="N82" i="4" s="1"/>
  <c r="P81" i="4"/>
  <c r="Q81" i="4" s="1"/>
  <c r="R81" i="4" s="1"/>
  <c r="S81" i="4" s="1"/>
  <c r="R104" i="4"/>
  <c r="S104" i="4" s="1"/>
  <c r="H107" i="4"/>
  <c r="J106" i="4"/>
  <c r="P105" i="4"/>
  <c r="K108" i="4"/>
  <c r="I61" i="4"/>
  <c r="P60" i="4"/>
  <c r="Q60" i="4" s="1"/>
  <c r="N60" i="4"/>
  <c r="R59" i="4"/>
  <c r="S59" i="4" s="1"/>
  <c r="H65" i="4"/>
  <c r="J63" i="4"/>
  <c r="H39" i="4"/>
  <c r="N39" i="4" s="1"/>
  <c r="O39" i="4" s="1"/>
  <c r="J83" i="4" l="1"/>
  <c r="N83" i="4" s="1"/>
  <c r="P82" i="4"/>
  <c r="Q82" i="4" s="1"/>
  <c r="R82" i="4" s="1"/>
  <c r="S82" i="4" s="1"/>
  <c r="K85" i="4"/>
  <c r="R60" i="4"/>
  <c r="S60" i="4" s="1"/>
  <c r="J107" i="4"/>
  <c r="N107" i="4" s="1"/>
  <c r="R107" i="4" s="1"/>
  <c r="S107" i="4" s="1"/>
  <c r="P106" i="4"/>
  <c r="K109" i="4"/>
  <c r="H108" i="4"/>
  <c r="N106" i="4"/>
  <c r="R106" i="4" s="1"/>
  <c r="S106" i="4" s="1"/>
  <c r="I62" i="4"/>
  <c r="N61" i="4"/>
  <c r="P61" i="4"/>
  <c r="Q61" i="4" s="1"/>
  <c r="H66" i="4"/>
  <c r="J64" i="4"/>
  <c r="H40" i="4"/>
  <c r="N40" i="4" s="1"/>
  <c r="O40" i="4" s="1"/>
  <c r="K86" i="4" l="1"/>
  <c r="J84" i="4"/>
  <c r="P83" i="4"/>
  <c r="Q83" i="4" s="1"/>
  <c r="R83" i="4" s="1"/>
  <c r="S83" i="4" s="1"/>
  <c r="H109" i="4"/>
  <c r="J108" i="4"/>
  <c r="N108" i="4" s="1"/>
  <c r="R108" i="4" s="1"/>
  <c r="S108" i="4" s="1"/>
  <c r="P107" i="4"/>
  <c r="I63" i="4"/>
  <c r="N62" i="4"/>
  <c r="P62" i="4"/>
  <c r="Q62" i="4" s="1"/>
  <c r="R61" i="4"/>
  <c r="S61" i="4" s="1"/>
  <c r="J65" i="4"/>
  <c r="H41" i="4"/>
  <c r="N41" i="4" s="1"/>
  <c r="O41" i="4" s="1"/>
  <c r="J85" i="4" l="1"/>
  <c r="P84" i="4"/>
  <c r="Q84" i="4" s="1"/>
  <c r="R62" i="4"/>
  <c r="S62" i="4" s="1"/>
  <c r="K87" i="4"/>
  <c r="N84" i="4"/>
  <c r="J109" i="4"/>
  <c r="P109" i="4" s="1"/>
  <c r="P108" i="4"/>
  <c r="N85" i="4"/>
  <c r="I64" i="4"/>
  <c r="P63" i="4"/>
  <c r="Q63" i="4" s="1"/>
  <c r="N63" i="4"/>
  <c r="J66" i="4"/>
  <c r="H42" i="4"/>
  <c r="N42" i="4" s="1"/>
  <c r="O42" i="4" s="1"/>
  <c r="R84" i="4" l="1"/>
  <c r="S84" i="4" s="1"/>
  <c r="R63" i="4"/>
  <c r="S63" i="4" s="1"/>
  <c r="J86" i="4"/>
  <c r="N86" i="4" s="1"/>
  <c r="P85" i="4"/>
  <c r="Q85" i="4" s="1"/>
  <c r="R85" i="4" s="1"/>
  <c r="S85" i="4" s="1"/>
  <c r="N109" i="4"/>
  <c r="R109" i="4" s="1"/>
  <c r="S109" i="4" s="1"/>
  <c r="I65" i="4"/>
  <c r="N64" i="4"/>
  <c r="P64" i="4"/>
  <c r="Q64" i="4" s="1"/>
  <c r="R64" i="4" l="1"/>
  <c r="S64" i="4" s="1"/>
  <c r="J87" i="4"/>
  <c r="P86" i="4"/>
  <c r="Q86" i="4" s="1"/>
  <c r="R86" i="4" s="1"/>
  <c r="S86" i="4" s="1"/>
  <c r="I66" i="4"/>
  <c r="P65" i="4"/>
  <c r="Q65" i="4" s="1"/>
  <c r="N65" i="4"/>
  <c r="R65" i="4" l="1"/>
  <c r="S65" i="4" s="1"/>
  <c r="P87" i="4"/>
  <c r="Q87" i="4" s="1"/>
  <c r="N87" i="4"/>
  <c r="N66" i="4"/>
  <c r="P66" i="4"/>
  <c r="Q66" i="4" s="1"/>
  <c r="R87" i="4" l="1"/>
  <c r="S87" i="4" s="1"/>
  <c r="R66" i="4"/>
  <c r="S66" i="4" s="1"/>
  <c r="B14" i="3"/>
  <c r="B13" i="3"/>
  <c r="B4" i="3"/>
  <c r="J17" i="3" s="1"/>
  <c r="B3" i="3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B2" i="3"/>
  <c r="G5" i="3" s="1"/>
  <c r="F28" i="3" s="1"/>
  <c r="F221" i="4" l="1"/>
  <c r="F195" i="4"/>
  <c r="F225" i="4"/>
  <c r="F253" i="4"/>
  <c r="F249" i="4"/>
  <c r="F198" i="4"/>
  <c r="H40" i="3"/>
  <c r="H33" i="3"/>
  <c r="H41" i="3"/>
  <c r="H42" i="3"/>
  <c r="H34" i="3"/>
  <c r="H43" i="3"/>
  <c r="H36" i="3"/>
  <c r="H37" i="3"/>
  <c r="H30" i="3"/>
  <c r="H38" i="3"/>
  <c r="L20" i="3"/>
  <c r="E30" i="3" s="1"/>
  <c r="I28" i="3"/>
  <c r="E5" i="3"/>
  <c r="J8" i="3"/>
  <c r="J11" i="3"/>
  <c r="J19" i="3"/>
  <c r="F5" i="3"/>
  <c r="J12" i="3"/>
  <c r="J20" i="3"/>
  <c r="J18" i="3"/>
  <c r="J10" i="3"/>
  <c r="J13" i="3"/>
  <c r="H6" i="3"/>
  <c r="H7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J6" i="3"/>
  <c r="J14" i="3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J7" i="3"/>
  <c r="J15" i="3"/>
  <c r="J16" i="3"/>
  <c r="J9" i="3"/>
  <c r="I29" i="3"/>
  <c r="I30" i="3" s="1"/>
  <c r="M198" i="4" l="1"/>
  <c r="M229" i="4"/>
  <c r="M195" i="4"/>
  <c r="M226" i="4"/>
  <c r="H32" i="3"/>
  <c r="H39" i="3"/>
  <c r="H35" i="3"/>
  <c r="I31" i="3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E37" i="3"/>
  <c r="E41" i="3"/>
  <c r="E33" i="3"/>
  <c r="F30" i="3"/>
  <c r="E40" i="3"/>
  <c r="E32" i="3"/>
  <c r="E43" i="3"/>
  <c r="E39" i="3"/>
  <c r="E36" i="3"/>
  <c r="E35" i="3"/>
  <c r="E31" i="3"/>
  <c r="E42" i="3"/>
  <c r="E38" i="3"/>
  <c r="E34" i="3"/>
  <c r="M29" i="3"/>
  <c r="F31" i="3" l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M30" i="3"/>
  <c r="M31" i="3" s="1"/>
  <c r="M32" i="3" l="1"/>
  <c r="M33" i="3" l="1"/>
  <c r="M34" i="3" l="1"/>
  <c r="M35" i="3" l="1"/>
  <c r="M36" i="3" l="1"/>
  <c r="M37" i="3" l="1"/>
  <c r="M39" i="3" l="1"/>
  <c r="M40" i="3" l="1"/>
  <c r="M41" i="3" l="1"/>
  <c r="M42" i="3" l="1"/>
  <c r="M43" i="3" l="1"/>
</calcChain>
</file>

<file path=xl/sharedStrings.xml><?xml version="1.0" encoding="utf-8"?>
<sst xmlns="http://schemas.openxmlformats.org/spreadsheetml/2006/main" count="169" uniqueCount="79">
  <si>
    <t>Name:</t>
  </si>
  <si>
    <t>Rouzbeh</t>
  </si>
  <si>
    <t>Family Name:</t>
  </si>
  <si>
    <t>Ghasemi</t>
  </si>
  <si>
    <t xml:space="preserve">Student Number: </t>
  </si>
  <si>
    <t xml:space="preserve">HW  Number: </t>
  </si>
  <si>
    <t>#3</t>
  </si>
  <si>
    <t>A</t>
  </si>
  <si>
    <t>B</t>
  </si>
  <si>
    <t>C</t>
  </si>
  <si>
    <t>Amount Based On STD Num</t>
  </si>
  <si>
    <t>Value(MT)</t>
  </si>
  <si>
    <t>Useful life</t>
  </si>
  <si>
    <t>Effective tax rate(Te)</t>
  </si>
  <si>
    <t>Minimum Attractive rate of return (MARR=i%)</t>
  </si>
  <si>
    <t xml:space="preserve">Estimated Inflation Rate For First Five Years </t>
  </si>
  <si>
    <t xml:space="preserve">Estimated Inflation Rate For Next Ten Years </t>
  </si>
  <si>
    <r>
      <t>For First Five Years : Inflatio</t>
    </r>
    <r>
      <rPr>
        <b/>
        <sz val="12"/>
        <color theme="1"/>
        <rFont val="Calibri"/>
        <family val="2"/>
        <scheme val="minor"/>
      </rPr>
      <t>n-A</t>
    </r>
    <r>
      <rPr>
        <b/>
        <sz val="11"/>
        <color theme="1"/>
        <rFont val="Calibri"/>
        <family val="2"/>
        <scheme val="minor"/>
      </rPr>
      <t xml:space="preserve">djusted MARR </t>
    </r>
  </si>
  <si>
    <r>
      <t xml:space="preserve"> For Next Ten Years : Inflatio</t>
    </r>
    <r>
      <rPr>
        <b/>
        <sz val="12"/>
        <color theme="1"/>
        <rFont val="Calibri"/>
        <family val="2"/>
        <scheme val="minor"/>
      </rPr>
      <t>n-A</t>
    </r>
    <r>
      <rPr>
        <b/>
        <sz val="11"/>
        <color theme="1"/>
        <rFont val="Calibri"/>
        <family val="2"/>
        <scheme val="minor"/>
      </rPr>
      <t>djusted MARR</t>
    </r>
  </si>
  <si>
    <t>Year</t>
  </si>
  <si>
    <t>Working capital</t>
  </si>
  <si>
    <t>Tools and materials</t>
  </si>
  <si>
    <t>Production equipment</t>
  </si>
  <si>
    <t>Human resources</t>
  </si>
  <si>
    <t>Materials</t>
  </si>
  <si>
    <t>Overhead and other costs</t>
  </si>
  <si>
    <t>First cost</t>
  </si>
  <si>
    <t>Annual Operating cost</t>
  </si>
  <si>
    <t>Cash Flow Of Before Inflation</t>
  </si>
  <si>
    <t>Annual Operating Revenue</t>
  </si>
  <si>
    <t>Salvage value</t>
  </si>
  <si>
    <t xml:space="preserve">                                                                                                                     DDB method</t>
  </si>
  <si>
    <t>Year (t)</t>
  </si>
  <si>
    <t>Part A</t>
  </si>
  <si>
    <t xml:space="preserve">SL </t>
  </si>
  <si>
    <t xml:space="preserve">SYD </t>
  </si>
  <si>
    <r>
      <t>D</t>
    </r>
    <r>
      <rPr>
        <vertAlign val="subscript"/>
        <sz val="12"/>
        <color theme="1"/>
        <rFont val="Calibri"/>
        <family val="2"/>
        <scheme val="minor"/>
      </rPr>
      <t xml:space="preserve">t </t>
    </r>
  </si>
  <si>
    <r>
      <t>BV</t>
    </r>
    <r>
      <rPr>
        <vertAlign val="subscript"/>
        <sz val="12"/>
        <color theme="1"/>
        <rFont val="Calibri"/>
        <family val="2"/>
        <scheme val="minor"/>
      </rPr>
      <t>t</t>
    </r>
  </si>
  <si>
    <t>Part B</t>
  </si>
  <si>
    <t xml:space="preserve"> Not Inflate SV</t>
  </si>
  <si>
    <t>Annual Operating revenues (MT)=GI</t>
  </si>
  <si>
    <t>Annual Operating Revenues</t>
  </si>
  <si>
    <t>SV</t>
  </si>
  <si>
    <t xml:space="preserve">Estimated Inflation Rate </t>
  </si>
  <si>
    <t xml:space="preserve">  CFBT</t>
  </si>
  <si>
    <t>PW</t>
  </si>
  <si>
    <t>Part C</t>
  </si>
  <si>
    <t>Taxes</t>
  </si>
  <si>
    <t>CFAT*</t>
  </si>
  <si>
    <t>PW of CFAT*</t>
  </si>
  <si>
    <t>Part D</t>
  </si>
  <si>
    <t xml:space="preserve">First cost = P </t>
  </si>
  <si>
    <t>D  ( SL Method)</t>
  </si>
  <si>
    <t>D  ( SYD Method)</t>
  </si>
  <si>
    <t>D  ( DDL Method)</t>
  </si>
  <si>
    <t>Part E</t>
  </si>
  <si>
    <t>Part F</t>
  </si>
  <si>
    <r>
      <t>D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(MT)</t>
    </r>
  </si>
  <si>
    <r>
      <t>BV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(MT)</t>
    </r>
  </si>
  <si>
    <r>
      <t>D</t>
    </r>
    <r>
      <rPr>
        <vertAlign val="subscript"/>
        <sz val="11"/>
        <color theme="1"/>
        <rFont val="Calibri"/>
        <family val="2"/>
        <scheme val="minor"/>
      </rPr>
      <t xml:space="preserve">t </t>
    </r>
  </si>
  <si>
    <r>
      <t>BV</t>
    </r>
    <r>
      <rPr>
        <vertAlign val="subscript"/>
        <sz val="11"/>
        <color theme="1"/>
        <rFont val="Calibri"/>
        <family val="2"/>
        <scheme val="minor"/>
      </rPr>
      <t>t</t>
    </r>
  </si>
  <si>
    <r>
      <t>D</t>
    </r>
    <r>
      <rPr>
        <vertAlign val="subscript"/>
        <sz val="12"/>
        <color theme="1"/>
        <rFont val="Calibri"/>
        <family val="2"/>
        <scheme val="minor"/>
      </rPr>
      <t>SL</t>
    </r>
    <r>
      <rPr>
        <sz val="12"/>
        <color theme="1"/>
        <rFont val="Calibri"/>
        <family val="2"/>
        <scheme val="minor"/>
      </rPr>
      <t xml:space="preserve"> based on year t</t>
    </r>
  </si>
  <si>
    <t>Result</t>
  </si>
  <si>
    <t>PWs of CFAT</t>
  </si>
  <si>
    <t>current</t>
  </si>
  <si>
    <t>percentages</t>
  </si>
  <si>
    <t>Third Year Operating Revenue</t>
  </si>
  <si>
    <t>Current</t>
  </si>
  <si>
    <t>PW of CFAT</t>
  </si>
  <si>
    <t>PW of CFAT (SL Method)</t>
  </si>
  <si>
    <t xml:space="preserve">ROR of CFAT SL = </t>
  </si>
  <si>
    <t>برای این CAFT نتوانسته ام ROR ای بدست بیاورم که طبق فرموده قبلی شما بلامانع است</t>
  </si>
  <si>
    <t>first year Human resource cost</t>
  </si>
  <si>
    <t>Usefull Life</t>
  </si>
  <si>
    <t>MARR</t>
  </si>
  <si>
    <t>DDB</t>
  </si>
  <si>
    <t>Annual Operating Cost</t>
  </si>
  <si>
    <t>TI</t>
  </si>
  <si>
    <t>Estimated Inflation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</si>
</sst>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;[Red]0.00"/>
    <numFmt numFmtId="165" formatCode="0.00_);[Red]\(0.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2"/>
      <color theme="1"/>
      <name val="B Nazanin"/>
      <charset val="178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3D2FF"/>
        <bgColor indexed="64"/>
      </patternFill>
    </fill>
    <fill>
      <patternFill patternType="solid">
        <fgColor rgb="FFC6EFCE"/>
      </patternFill>
    </fill>
    <fill>
      <patternFill patternType="solid">
        <fgColor rgb="FFFF93E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AA2D"/>
        <bgColor indexed="64"/>
      </patternFill>
    </fill>
    <fill>
      <patternFill patternType="solid">
        <fgColor rgb="FF9D480F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 applyNumberFormat="0" applyBorder="0" applyAlignment="0" applyProtection="0"/>
    <xf numFmtId="0" fontId="1" fillId="4" borderId="0"/>
    <xf numFmtId="0" fontId="1" fillId="5" borderId="0"/>
    <xf numFmtId="0" fontId="1" fillId="6" borderId="0"/>
    <xf numFmtId="0" fontId="1" fillId="7" borderId="0"/>
    <xf numFmtId="0" fontId="9" fillId="8" borderId="0" applyNumberFormat="0" applyBorder="0" applyAlignment="0" applyProtection="0"/>
  </cellStyleXfs>
  <cellXfs count="62">
    <xf numFmtId="0" fontId="0" fillId="0" borderId="0" xfId="0"/>
    <xf numFmtId="0" fontId="1" fillId="2" borderId="0" xfId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" fillId="4" borderId="0" xfId="3"/>
    <xf numFmtId="0" fontId="1" fillId="4" borderId="0" xfId="3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5" borderId="0" xfId="4"/>
    <xf numFmtId="0" fontId="3" fillId="7" borderId="0" xfId="6" applyFont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1" fillId="6" borderId="0" xfId="5"/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4" borderId="0" xfId="3" applyAlignment="1">
      <alignment horizontal="right"/>
    </xf>
    <xf numFmtId="0" fontId="10" fillId="4" borderId="0" xfId="3" applyFont="1" applyAlignment="1">
      <alignment horizontal="right"/>
    </xf>
    <xf numFmtId="0" fontId="1" fillId="4" borderId="0" xfId="3" applyBorder="1" applyAlignment="1">
      <alignment horizontal="center" vertical="center"/>
    </xf>
    <xf numFmtId="0" fontId="3" fillId="7" borderId="0" xfId="6" applyFont="1" applyBorder="1" applyAlignment="1">
      <alignment horizontal="center" vertical="center"/>
    </xf>
    <xf numFmtId="0" fontId="3" fillId="2" borderId="0" xfId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5" fontId="11" fillId="8" borderId="0" xfId="7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5" fillId="6" borderId="0" xfId="5" applyFont="1" applyBorder="1" applyAlignment="1">
      <alignment horizontal="center" vertical="center"/>
    </xf>
    <xf numFmtId="165" fontId="1" fillId="4" borderId="0" xfId="3" applyNumberFormat="1" applyBorder="1" applyAlignment="1">
      <alignment horizontal="center" vertical="center"/>
    </xf>
    <xf numFmtId="0" fontId="1" fillId="5" borderId="0" xfId="4" applyBorder="1" applyAlignment="1">
      <alignment horizontal="center" vertical="center"/>
    </xf>
    <xf numFmtId="0" fontId="1" fillId="6" borderId="0" xfId="5" applyBorder="1" applyAlignment="1">
      <alignment horizontal="center" vertical="center"/>
    </xf>
    <xf numFmtId="0" fontId="5" fillId="2" borderId="0" xfId="1" applyFont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9" fillId="8" borderId="0" xfId="7" applyBorder="1" applyAlignment="1">
      <alignment horizontal="center" vertical="center"/>
    </xf>
    <xf numFmtId="165" fontId="9" fillId="8" borderId="0" xfId="7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2" borderId="0" xfId="1" applyFont="1" applyBorder="1" applyAlignment="1">
      <alignment horizontal="center" vertical="center"/>
    </xf>
    <xf numFmtId="0" fontId="16" fillId="2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5" borderId="0" xfId="4" applyFont="1" applyAlignment="1">
      <alignment horizontal="center" vertical="center"/>
    </xf>
    <xf numFmtId="0" fontId="3" fillId="3" borderId="0" xfId="2" applyFont="1" applyBorder="1" applyAlignment="1">
      <alignment horizontal="center" vertical="center"/>
    </xf>
    <xf numFmtId="0" fontId="3" fillId="6" borderId="0" xfId="5" applyFont="1" applyAlignment="1">
      <alignment horizontal="center" vertical="center"/>
    </xf>
    <xf numFmtId="0" fontId="13" fillId="2" borderId="0" xfId="1" applyFont="1" applyAlignment="1">
      <alignment horizontal="center" vertical="center"/>
    </xf>
    <xf numFmtId="0" fontId="1" fillId="5" borderId="0" xfId="4" applyAlignment="1">
      <alignment horizontal="center" vertical="center"/>
    </xf>
    <xf numFmtId="0" fontId="10" fillId="4" borderId="0" xfId="3" applyFont="1" applyAlignment="1">
      <alignment horizontal="center" vertical="center"/>
    </xf>
    <xf numFmtId="0" fontId="19" fillId="4" borderId="0" xfId="3" applyFont="1" applyBorder="1" applyAlignment="1">
      <alignment horizontal="center" vertical="center"/>
    </xf>
    <xf numFmtId="0" fontId="5" fillId="5" borderId="0" xfId="4" applyFont="1" applyBorder="1" applyAlignment="1">
      <alignment horizontal="center" vertical="center"/>
    </xf>
    <xf numFmtId="0" fontId="3" fillId="6" borderId="0" xfId="5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7" fillId="4" borderId="0" xfId="3" applyFont="1" applyBorder="1" applyAlignment="1">
      <alignment horizontal="center" vertical="center"/>
    </xf>
    <xf numFmtId="0" fontId="18" fillId="4" borderId="0" xfId="3" applyFont="1" applyBorder="1" applyAlignment="1">
      <alignment horizontal="center" vertical="center"/>
    </xf>
    <xf numFmtId="0" fontId="10" fillId="4" borderId="0" xfId="3" applyFont="1" applyBorder="1" applyAlignment="1">
      <alignment horizontal="center" vertical="center"/>
    </xf>
  </cellXfs>
  <cellStyles count="8">
    <cellStyle name="Blue" xfId="1"/>
    <cellStyle name="Brown" xfId="6"/>
    <cellStyle name="Good" xfId="2" builtinId="26"/>
    <cellStyle name="gray" xfId="4"/>
    <cellStyle name="Neutral" xfId="7" builtinId="28"/>
    <cellStyle name="Normal" xfId="0" builtinId="0"/>
    <cellStyle name="Orange" xfId="5"/>
    <cellStyle name="Pink" xfId="3"/>
  </cellStyles>
  <dxfs count="0"/>
  <tableStyles count="0" defaultTableStyle="TableStyleMedium2" defaultPivotStyle="PivotStyleLight16"/>
  <colors>
    <mruColors>
      <color rgb="FFB2B2B2"/>
      <color rgb="FF9D480F"/>
      <color rgb="FFFFAA2D"/>
      <color rgb="FFFF93E3"/>
      <color rgb="FFFF33CC"/>
      <color rgb="FF53D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Methods</a:t>
            </a:r>
            <a:r>
              <a:rPr lang="en-US" baseline="0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860055433484309E-2"/>
          <c:y val="7.5209867247296211E-2"/>
          <c:w val="0.93860444522488173"/>
          <c:h val="0.75920407683895641"/>
        </c:manualLayout>
      </c:layout>
      <c:lineChart>
        <c:grouping val="standard"/>
        <c:varyColors val="0"/>
        <c:ser>
          <c:idx val="1"/>
          <c:order val="0"/>
          <c:tx>
            <c:v>SL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</c:numLit>
          </c:cat>
          <c:val>
            <c:numRef>
              <c:f>'Part A'!$F$28:$F$43</c:f>
              <c:numCache>
                <c:formatCode>0.00</c:formatCode>
                <c:ptCount val="16"/>
                <c:pt idx="0" formatCode="0">
                  <c:v>2800</c:v>
                </c:pt>
                <c:pt idx="1">
                  <c:v>2632</c:v>
                </c:pt>
                <c:pt idx="2">
                  <c:v>2464</c:v>
                </c:pt>
                <c:pt idx="3">
                  <c:v>2296</c:v>
                </c:pt>
                <c:pt idx="4">
                  <c:v>2128</c:v>
                </c:pt>
                <c:pt idx="5">
                  <c:v>1960</c:v>
                </c:pt>
                <c:pt idx="6">
                  <c:v>1792</c:v>
                </c:pt>
                <c:pt idx="7">
                  <c:v>1624</c:v>
                </c:pt>
                <c:pt idx="8">
                  <c:v>1456</c:v>
                </c:pt>
                <c:pt idx="9">
                  <c:v>1288</c:v>
                </c:pt>
                <c:pt idx="10">
                  <c:v>1120</c:v>
                </c:pt>
                <c:pt idx="11">
                  <c:v>952</c:v>
                </c:pt>
                <c:pt idx="12">
                  <c:v>784</c:v>
                </c:pt>
                <c:pt idx="13">
                  <c:v>616</c:v>
                </c:pt>
                <c:pt idx="14">
                  <c:v>448</c:v>
                </c:pt>
                <c:pt idx="15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5-4F1C-A2DA-716C6A68E8F0}"/>
            </c:ext>
          </c:extLst>
        </c:ser>
        <c:ser>
          <c:idx val="0"/>
          <c:order val="1"/>
          <c:tx>
            <c:v>SYD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</c:numLit>
          </c:cat>
          <c:val>
            <c:numRef>
              <c:f>'Part A'!$I$28:$I$43</c:f>
              <c:numCache>
                <c:formatCode>0.00</c:formatCode>
                <c:ptCount val="16"/>
                <c:pt idx="0" formatCode="0">
                  <c:v>2800</c:v>
                </c:pt>
                <c:pt idx="1">
                  <c:v>2485</c:v>
                </c:pt>
                <c:pt idx="2">
                  <c:v>2191</c:v>
                </c:pt>
                <c:pt idx="3">
                  <c:v>1918</c:v>
                </c:pt>
                <c:pt idx="4">
                  <c:v>1666</c:v>
                </c:pt>
                <c:pt idx="5">
                  <c:v>1435</c:v>
                </c:pt>
                <c:pt idx="6">
                  <c:v>1225</c:v>
                </c:pt>
                <c:pt idx="7">
                  <c:v>1036</c:v>
                </c:pt>
                <c:pt idx="8">
                  <c:v>868</c:v>
                </c:pt>
                <c:pt idx="9">
                  <c:v>721</c:v>
                </c:pt>
                <c:pt idx="10">
                  <c:v>595</c:v>
                </c:pt>
                <c:pt idx="11">
                  <c:v>490</c:v>
                </c:pt>
                <c:pt idx="12">
                  <c:v>406</c:v>
                </c:pt>
                <c:pt idx="13">
                  <c:v>343</c:v>
                </c:pt>
                <c:pt idx="14">
                  <c:v>301</c:v>
                </c:pt>
                <c:pt idx="15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5-4F1C-A2DA-716C6A68E8F0}"/>
            </c:ext>
          </c:extLst>
        </c:ser>
        <c:ser>
          <c:idx val="2"/>
          <c:order val="2"/>
          <c:tx>
            <c:v>DDB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</c:numLit>
          </c:cat>
          <c:val>
            <c:numRef>
              <c:f>'Part A'!$P$28:$P$43</c:f>
              <c:numCache>
                <c:formatCode>0.00</c:formatCode>
                <c:ptCount val="16"/>
                <c:pt idx="0">
                  <c:v>2800</c:v>
                </c:pt>
                <c:pt idx="1">
                  <c:v>2426.6666666666665</c:v>
                </c:pt>
                <c:pt idx="2">
                  <c:v>2103.1111111111109</c:v>
                </c:pt>
                <c:pt idx="3">
                  <c:v>1822.6962962962959</c:v>
                </c:pt>
                <c:pt idx="4">
                  <c:v>1579.6701234567897</c:v>
                </c:pt>
                <c:pt idx="5">
                  <c:v>1369.0474403292178</c:v>
                </c:pt>
                <c:pt idx="6">
                  <c:v>1186.5077816186554</c:v>
                </c:pt>
                <c:pt idx="7">
                  <c:v>1028.3067440695013</c:v>
                </c:pt>
                <c:pt idx="8">
                  <c:v>891.19917819356772</c:v>
                </c:pt>
                <c:pt idx="9">
                  <c:v>772.37262110109191</c:v>
                </c:pt>
                <c:pt idx="10">
                  <c:v>669.38960495427955</c:v>
                </c:pt>
                <c:pt idx="11">
                  <c:v>580.13765762704224</c:v>
                </c:pt>
                <c:pt idx="12">
                  <c:v>502.78596994343656</c:v>
                </c:pt>
                <c:pt idx="13">
                  <c:v>428.524</c:v>
                </c:pt>
                <c:pt idx="14">
                  <c:v>354.262</c:v>
                </c:pt>
                <c:pt idx="15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5-4F1C-A2DA-716C6A68E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692240"/>
        <c:axId val="222692800"/>
      </c:lineChart>
      <c:catAx>
        <c:axId val="22269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92800"/>
        <c:crosses val="autoZero"/>
        <c:auto val="1"/>
        <c:lblAlgn val="ctr"/>
        <c:lblOffset val="100"/>
        <c:noMultiLvlLbl val="0"/>
      </c:catAx>
      <c:valAx>
        <c:axId val="22269280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BV(MT) </a:t>
                </a:r>
              </a:p>
            </c:rich>
          </c:tx>
          <c:layout>
            <c:manualLayout>
              <c:xMode val="edge"/>
              <c:yMode val="edge"/>
              <c:x val="3.1867758396929242E-2"/>
              <c:y val="8.0063653941582109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92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accent1">
              <a:alpha val="99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>
          <a:alpha val="96000"/>
        </a:schemeClr>
      </a:solidFill>
    </a:ln>
    <a:effectLst/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MARR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'Part B,C,D,E,F'!$M$227:$M$231</c:f>
              <c:numCache>
                <c:formatCode>0.00;[Red]0.00</c:formatCode>
                <c:ptCount val="5"/>
                <c:pt idx="0">
                  <c:v>-16829.923141514999</c:v>
                </c:pt>
                <c:pt idx="1">
                  <c:v>-14993.3661087037</c:v>
                </c:pt>
                <c:pt idx="2">
                  <c:v>-13368.588888849599</c:v>
                </c:pt>
                <c:pt idx="3">
                  <c:v>-12023.5537811596</c:v>
                </c:pt>
                <c:pt idx="4">
                  <c:v>-10702.9829713253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7-48C1-B0BB-18F9C049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800208"/>
        <c:axId val="225800768"/>
      </c:lineChart>
      <c:catAx>
        <c:axId val="225800208"/>
        <c:scaling>
          <c:orientation val="minMax"/>
        </c:scaling>
        <c:delete val="0"/>
        <c:axPos val="b"/>
        <c:numFmt formatCode="0.00;[Red]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00768"/>
        <c:crosses val="autoZero"/>
        <c:auto val="1"/>
        <c:lblAlgn val="ctr"/>
        <c:lblOffset val="100"/>
        <c:noMultiLvlLbl val="0"/>
      </c:catAx>
      <c:valAx>
        <c:axId val="2258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2231445027704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Salvage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Salvage Value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'Part B,C,D,E,F'!$F$250:$F$256</c:f>
              <c:numCache>
                <c:formatCode>0.00;[Red]0.00</c:formatCode>
                <c:ptCount val="7"/>
                <c:pt idx="0">
                  <c:v>-13748.1709855792</c:v>
                </c:pt>
                <c:pt idx="1">
                  <c:v>-13489.419995800499</c:v>
                </c:pt>
                <c:pt idx="2">
                  <c:v>-13413.669006021701</c:v>
                </c:pt>
                <c:pt idx="3">
                  <c:v>-13368.588888849599</c:v>
                </c:pt>
                <c:pt idx="4">
                  <c:v>-13301.412412421399</c:v>
                </c:pt>
                <c:pt idx="5">
                  <c:v>-13261.412412421399</c:v>
                </c:pt>
                <c:pt idx="6">
                  <c:v>-13151.412412421399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0-4C3F-8624-8CC482A52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992224"/>
        <c:axId val="225992784"/>
      </c:lineChart>
      <c:catAx>
        <c:axId val="225992224"/>
        <c:scaling>
          <c:orientation val="minMax"/>
        </c:scaling>
        <c:delete val="0"/>
        <c:axPos val="b"/>
        <c:numFmt formatCode="0.00;[Red]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92784"/>
        <c:crosses val="autoZero"/>
        <c:auto val="1"/>
        <c:lblAlgn val="ctr"/>
        <c:lblOffset val="100"/>
        <c:noMultiLvlLbl val="0"/>
      </c:catAx>
      <c:valAx>
        <c:axId val="2259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PWs</a:t>
                </a:r>
              </a:p>
            </c:rich>
          </c:tx>
          <c:layout>
            <c:manualLayout>
              <c:xMode val="edge"/>
              <c:yMode val="edge"/>
              <c:x val="2.1133522259256732E-2"/>
              <c:y val="0.27787000583260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9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SPIDER chart </a:t>
            </a:r>
          </a:p>
        </c:rich>
      </c:tx>
      <c:layout>
        <c:manualLayout>
          <c:xMode val="edge"/>
          <c:yMode val="edge"/>
          <c:x val="0.42763259777100132"/>
          <c:y val="4.5937733161946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TYOR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'Part B,C,D,E,F'!$F$196:$F$200</c:f>
              <c:numCache>
                <c:formatCode>0.00;[Red]0.00</c:formatCode>
                <c:ptCount val="5"/>
                <c:pt idx="0">
                  <c:v>-23325.351424140001</c:v>
                </c:pt>
                <c:pt idx="1">
                  <c:v>-18293.6105013212</c:v>
                </c:pt>
                <c:pt idx="2">
                  <c:v>-13368.588888849599</c:v>
                </c:pt>
                <c:pt idx="3">
                  <c:v>-8012.2255253575104</c:v>
                </c:pt>
                <c:pt idx="4">
                  <c:v>-2955.4669655279899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72-49D0-B16A-6939AAD1DABC}"/>
            </c:ext>
          </c:extLst>
        </c:ser>
        <c:ser>
          <c:idx val="1"/>
          <c:order val="1"/>
          <c:tx>
            <c:v>FYHRC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'Part B,C,D,E,F'!$M$196:$M$200</c:f>
              <c:numCache>
                <c:formatCode>0.00;[Red]0.00</c:formatCode>
                <c:ptCount val="5"/>
                <c:pt idx="0">
                  <c:v>6095.8127147214</c:v>
                </c:pt>
                <c:pt idx="1">
                  <c:v>1033.4321412423401</c:v>
                </c:pt>
                <c:pt idx="2">
                  <c:v>-13368.588888849599</c:v>
                </c:pt>
                <c:pt idx="3">
                  <c:v>-15621.9123124241</c:v>
                </c:pt>
                <c:pt idx="4">
                  <c:v>-19363.268165713202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72-49D0-B16A-6939AAD1DABC}"/>
            </c:ext>
          </c:extLst>
        </c:ser>
        <c:ser>
          <c:idx val="2"/>
          <c:order val="2"/>
          <c:tx>
            <c:v>Usefull Life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'Part B,C,D,E,F'!$F$222:$F$229</c:f>
              <c:numCache>
                <c:formatCode>0.00;[Red]0.00</c:formatCode>
                <c:ptCount val="8"/>
                <c:pt idx="0">
                  <c:v>-8951.5973926084298</c:v>
                </c:pt>
                <c:pt idx="1">
                  <c:v>-10122.886627960899</c:v>
                </c:pt>
                <c:pt idx="2">
                  <c:v>-12421.912312412</c:v>
                </c:pt>
                <c:pt idx="3">
                  <c:v>-13368.588888849599</c:v>
                </c:pt>
                <c:pt idx="4">
                  <c:v>-14923.175863312999</c:v>
                </c:pt>
                <c:pt idx="5">
                  <c:v>-15932.360039792</c:v>
                </c:pt>
                <c:pt idx="6">
                  <c:v>-17011.998172151601</c:v>
                </c:pt>
                <c:pt idx="7">
                  <c:v>-17897.9389417643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72-49D0-B16A-6939AAD1DABC}"/>
            </c:ext>
          </c:extLst>
        </c:ser>
        <c:ser>
          <c:idx val="3"/>
          <c:order val="3"/>
          <c:tx>
            <c:v>MARR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'Part B,C,D,E,F'!$M$227:$M$231</c:f>
              <c:numCache>
                <c:formatCode>0.00;[Red]0.00</c:formatCode>
                <c:ptCount val="5"/>
                <c:pt idx="0">
                  <c:v>-16829.923141514999</c:v>
                </c:pt>
                <c:pt idx="1">
                  <c:v>-14993.3661087037</c:v>
                </c:pt>
                <c:pt idx="2">
                  <c:v>-13368.588888849599</c:v>
                </c:pt>
                <c:pt idx="3">
                  <c:v>-12023.5537811596</c:v>
                </c:pt>
                <c:pt idx="4">
                  <c:v>-10702.9829713253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72-49D0-B16A-6939AAD1DABC}"/>
            </c:ext>
          </c:extLst>
        </c:ser>
        <c:ser>
          <c:idx val="4"/>
          <c:order val="4"/>
          <c:tx>
            <c:v>SV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'Part B,C,D,E,F'!$F$250:$F$256</c:f>
              <c:numCache>
                <c:formatCode>0.00;[Red]0.00</c:formatCode>
                <c:ptCount val="7"/>
                <c:pt idx="0">
                  <c:v>-13748.1709855792</c:v>
                </c:pt>
                <c:pt idx="1">
                  <c:v>-13489.419995800499</c:v>
                </c:pt>
                <c:pt idx="2">
                  <c:v>-13413.669006021701</c:v>
                </c:pt>
                <c:pt idx="3">
                  <c:v>-13368.588888849599</c:v>
                </c:pt>
                <c:pt idx="4">
                  <c:v>-13301.412412421399</c:v>
                </c:pt>
                <c:pt idx="5">
                  <c:v>-13261.412412421399</c:v>
                </c:pt>
                <c:pt idx="6">
                  <c:v>-13151.412412421399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72-49D0-B16A-6939AAD1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09600"/>
        <c:axId val="226310160"/>
      </c:lineChart>
      <c:catAx>
        <c:axId val="2263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individual parameter</a:t>
                </a:r>
              </a:p>
            </c:rich>
          </c:tx>
          <c:layout>
            <c:manualLayout>
              <c:xMode val="edge"/>
              <c:yMode val="edge"/>
              <c:x val="0.69991635788236839"/>
              <c:y val="0.21786374605128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10160"/>
        <c:crosses val="autoZero"/>
        <c:auto val="1"/>
        <c:lblAlgn val="ctr"/>
        <c:lblOffset val="100"/>
        <c:noMultiLvlLbl val="0"/>
      </c:catAx>
      <c:valAx>
        <c:axId val="226310160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PWs of CFAT </a:t>
                </a:r>
              </a:p>
            </c:rich>
          </c:tx>
          <c:layout>
            <c:manualLayout>
              <c:xMode val="edge"/>
              <c:yMode val="edge"/>
              <c:x val="6.237985343023842E-2"/>
              <c:y val="3.22595103388876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98004214526948E-2"/>
          <c:y val="0.12058297923324708"/>
          <c:w val="0.91775513667809128"/>
          <c:h val="0.6699869716811657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'Part B,C,D,E,F'!$R$51:$R$66</c:f>
              <c:numCache>
                <c:formatCode>0.00;[Red]0.00</c:formatCode>
                <c:ptCount val="16"/>
                <c:pt idx="0">
                  <c:v>-3587.5</c:v>
                </c:pt>
                <c:pt idx="1">
                  <c:v>-2208</c:v>
                </c:pt>
                <c:pt idx="2">
                  <c:v>-2825.8125</c:v>
                </c:pt>
                <c:pt idx="3">
                  <c:v>-471.73828125</c:v>
                </c:pt>
                <c:pt idx="4">
                  <c:v>-663.98495507812527</c:v>
                </c:pt>
                <c:pt idx="5">
                  <c:v>-935.10935207519606</c:v>
                </c:pt>
                <c:pt idx="6">
                  <c:v>-1257.4328478180919</c:v>
                </c:pt>
                <c:pt idx="7">
                  <c:v>-1690.3880423849396</c:v>
                </c:pt>
                <c:pt idx="8">
                  <c:v>-2269.7781075579342</c:v>
                </c:pt>
                <c:pt idx="9">
                  <c:v>-3042.375109414143</c:v>
                </c:pt>
                <c:pt idx="10">
                  <c:v>-4069.1496907796964</c:v>
                </c:pt>
                <c:pt idx="11">
                  <c:v>-5429.4256242995534</c:v>
                </c:pt>
                <c:pt idx="12">
                  <c:v>-7226.2189368784875</c:v>
                </c:pt>
                <c:pt idx="13">
                  <c:v>-9593.0932069620576</c:v>
                </c:pt>
                <c:pt idx="14">
                  <c:v>-12702.95423852215</c:v>
                </c:pt>
                <c:pt idx="15">
                  <c:v>-16499.323976832398</c:v>
                </c:pt>
              </c:numCache>
            </c:numRef>
          </c:cat>
          <c:val>
            <c:numRef>
              <c:f>'Part B,C,D,E,F'!$R$51:$R$66</c:f>
              <c:numCache>
                <c:formatCode>0.00;[Red]0.00</c:formatCode>
                <c:ptCount val="16"/>
                <c:pt idx="0">
                  <c:v>-3587.5</c:v>
                </c:pt>
                <c:pt idx="1">
                  <c:v>-2208</c:v>
                </c:pt>
                <c:pt idx="2">
                  <c:v>-2825.8125</c:v>
                </c:pt>
                <c:pt idx="3">
                  <c:v>-471.73828125</c:v>
                </c:pt>
                <c:pt idx="4">
                  <c:v>-663.98495507812527</c:v>
                </c:pt>
                <c:pt idx="5">
                  <c:v>-935.10935207519606</c:v>
                </c:pt>
                <c:pt idx="6">
                  <c:v>-1257.4328478180919</c:v>
                </c:pt>
                <c:pt idx="7">
                  <c:v>-1690.3880423849396</c:v>
                </c:pt>
                <c:pt idx="8">
                  <c:v>-2269.7781075579342</c:v>
                </c:pt>
                <c:pt idx="9">
                  <c:v>-3042.375109414143</c:v>
                </c:pt>
                <c:pt idx="10">
                  <c:v>-4069.1496907796964</c:v>
                </c:pt>
                <c:pt idx="11">
                  <c:v>-5429.4256242995534</c:v>
                </c:pt>
                <c:pt idx="12">
                  <c:v>-7226.2189368784875</c:v>
                </c:pt>
                <c:pt idx="13">
                  <c:v>-9593.0932069620576</c:v>
                </c:pt>
                <c:pt idx="14">
                  <c:v>-12702.95423852215</c:v>
                </c:pt>
                <c:pt idx="15">
                  <c:v>-16499.323976832398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D-4F27-9155-B06ADC92B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09984"/>
        <c:axId val="160110544"/>
      </c:lineChart>
      <c:catAx>
        <c:axId val="160109984"/>
        <c:scaling>
          <c:orientation val="minMax"/>
        </c:scaling>
        <c:delete val="0"/>
        <c:axPos val="b"/>
        <c:numFmt formatCode="0.00;[Red]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0544"/>
        <c:crosses val="autoZero"/>
        <c:auto val="1"/>
        <c:lblAlgn val="ctr"/>
        <c:lblOffset val="100"/>
        <c:noMultiLvlLbl val="0"/>
      </c:catAx>
      <c:valAx>
        <c:axId val="1601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CFAT</a:t>
            </a:r>
            <a:r>
              <a:rPr lang="en-US" baseline="0"/>
              <a:t> (SL Method)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1397123156333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6931321679371E-2"/>
          <c:y val="0.18336350504238366"/>
          <c:w val="0.91775513667809128"/>
          <c:h val="0.66998697168116572"/>
        </c:manualLayout>
      </c:layout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'Part B,C,D,E,F'!$R$51:$R$66</c:f>
              <c:numCache>
                <c:formatCode>0.00;[Red]0.00</c:formatCode>
                <c:ptCount val="16"/>
                <c:pt idx="0">
                  <c:v>-3587.5</c:v>
                </c:pt>
                <c:pt idx="1">
                  <c:v>-2208</c:v>
                </c:pt>
                <c:pt idx="2">
                  <c:v>-2825.8125</c:v>
                </c:pt>
                <c:pt idx="3">
                  <c:v>-471.73828125</c:v>
                </c:pt>
                <c:pt idx="4">
                  <c:v>-663.98495507812527</c:v>
                </c:pt>
                <c:pt idx="5">
                  <c:v>-935.10935207519606</c:v>
                </c:pt>
                <c:pt idx="6">
                  <c:v>-1257.4328478180919</c:v>
                </c:pt>
                <c:pt idx="7">
                  <c:v>-1690.3880423849396</c:v>
                </c:pt>
                <c:pt idx="8">
                  <c:v>-2269.7781075579342</c:v>
                </c:pt>
                <c:pt idx="9">
                  <c:v>-3042.375109414143</c:v>
                </c:pt>
                <c:pt idx="10">
                  <c:v>-4069.1496907796964</c:v>
                </c:pt>
                <c:pt idx="11">
                  <c:v>-5429.4256242995534</c:v>
                </c:pt>
                <c:pt idx="12">
                  <c:v>-7226.2189368784875</c:v>
                </c:pt>
                <c:pt idx="13">
                  <c:v>-9593.0932069620576</c:v>
                </c:pt>
                <c:pt idx="14">
                  <c:v>-12702.95423852215</c:v>
                </c:pt>
                <c:pt idx="15">
                  <c:v>-16499.323976832398</c:v>
                </c:pt>
              </c:numCache>
            </c:numRef>
          </c:cat>
          <c:val>
            <c:numRef>
              <c:f>'Part B,C,D,E,F'!$R$51:$R$66</c:f>
              <c:numCache>
                <c:formatCode>0.00;[Red]0.00</c:formatCode>
                <c:ptCount val="16"/>
                <c:pt idx="0">
                  <c:v>-3587.5</c:v>
                </c:pt>
                <c:pt idx="1">
                  <c:v>-2208</c:v>
                </c:pt>
                <c:pt idx="2">
                  <c:v>-2825.8125</c:v>
                </c:pt>
                <c:pt idx="3">
                  <c:v>-471.73828125</c:v>
                </c:pt>
                <c:pt idx="4">
                  <c:v>-663.98495507812527</c:v>
                </c:pt>
                <c:pt idx="5">
                  <c:v>-935.10935207519606</c:v>
                </c:pt>
                <c:pt idx="6">
                  <c:v>-1257.4328478180919</c:v>
                </c:pt>
                <c:pt idx="7">
                  <c:v>-1690.3880423849396</c:v>
                </c:pt>
                <c:pt idx="8">
                  <c:v>-2269.7781075579342</c:v>
                </c:pt>
                <c:pt idx="9">
                  <c:v>-3042.375109414143</c:v>
                </c:pt>
                <c:pt idx="10">
                  <c:v>-4069.1496907796964</c:v>
                </c:pt>
                <c:pt idx="11">
                  <c:v>-5429.4256242995534</c:v>
                </c:pt>
                <c:pt idx="12">
                  <c:v>-7226.2189368784875</c:v>
                </c:pt>
                <c:pt idx="13">
                  <c:v>-9593.0932069620576</c:v>
                </c:pt>
                <c:pt idx="14">
                  <c:v>-12702.95423852215</c:v>
                </c:pt>
                <c:pt idx="15">
                  <c:v>-16499.323976832398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9-4A4E-BA56-DBE4A8C9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09984"/>
        <c:axId val="160110544"/>
      </c:lineChart>
      <c:catAx>
        <c:axId val="160109984"/>
        <c:scaling>
          <c:orientation val="minMax"/>
        </c:scaling>
        <c:delete val="0"/>
        <c:axPos val="b"/>
        <c:numFmt formatCode="0.00;[Red]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0544"/>
        <c:crosses val="autoZero"/>
        <c:auto val="1"/>
        <c:lblAlgn val="ctr"/>
        <c:lblOffset val="100"/>
        <c:noMultiLvlLbl val="0"/>
      </c:catAx>
      <c:valAx>
        <c:axId val="1601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CFAT(SYD Mehtod)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2985337000837"/>
          <c:y val="0.21005664768599802"/>
          <c:w val="0.89917014662999162"/>
          <c:h val="0.59809396568139317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'Part B,C,D,E,F'!$R$72:$R$87</c:f>
              <c:numCache>
                <c:formatCode>0.00;[Red]0.00</c:formatCode>
                <c:ptCount val="16"/>
                <c:pt idx="0">
                  <c:v>-3587.5</c:v>
                </c:pt>
                <c:pt idx="1">
                  <c:v>-2171.25</c:v>
                </c:pt>
                <c:pt idx="2">
                  <c:v>-2794.3125</c:v>
                </c:pt>
                <c:pt idx="3">
                  <c:v>-445.48828125</c:v>
                </c:pt>
                <c:pt idx="4">
                  <c:v>-642.98495507812527</c:v>
                </c:pt>
                <c:pt idx="5">
                  <c:v>-919.35935207519606</c:v>
                </c:pt>
                <c:pt idx="6">
                  <c:v>-1246.9328478180919</c:v>
                </c:pt>
                <c:pt idx="7">
                  <c:v>-1685.1380423849396</c:v>
                </c:pt>
                <c:pt idx="8">
                  <c:v>-2269.7781075579342</c:v>
                </c:pt>
                <c:pt idx="9">
                  <c:v>-3047.625109414143</c:v>
                </c:pt>
                <c:pt idx="10">
                  <c:v>-4079.6496907796964</c:v>
                </c:pt>
                <c:pt idx="11">
                  <c:v>-5445.1756242995534</c:v>
                </c:pt>
                <c:pt idx="12">
                  <c:v>-7247.2189368784875</c:v>
                </c:pt>
                <c:pt idx="13">
                  <c:v>-9619.3432069620576</c:v>
                </c:pt>
                <c:pt idx="14">
                  <c:v>-12734.45423852215</c:v>
                </c:pt>
                <c:pt idx="15">
                  <c:v>-16536.073976832398</c:v>
                </c:pt>
              </c:numCache>
            </c:numRef>
          </c:cat>
          <c:val>
            <c:numRef>
              <c:f>'Part B,C,D,E,F'!$R$72:$R$87</c:f>
              <c:numCache>
                <c:formatCode>0.00;[Red]0.00</c:formatCode>
                <c:ptCount val="16"/>
                <c:pt idx="0">
                  <c:v>-3587.5</c:v>
                </c:pt>
                <c:pt idx="1">
                  <c:v>-2171.25</c:v>
                </c:pt>
                <c:pt idx="2">
                  <c:v>-2794.3125</c:v>
                </c:pt>
                <c:pt idx="3">
                  <c:v>-445.48828125</c:v>
                </c:pt>
                <c:pt idx="4">
                  <c:v>-642.98495507812527</c:v>
                </c:pt>
                <c:pt idx="5">
                  <c:v>-919.35935207519606</c:v>
                </c:pt>
                <c:pt idx="6">
                  <c:v>-1246.9328478180919</c:v>
                </c:pt>
                <c:pt idx="7">
                  <c:v>-1685.1380423849396</c:v>
                </c:pt>
                <c:pt idx="8">
                  <c:v>-2269.7781075579342</c:v>
                </c:pt>
                <c:pt idx="9">
                  <c:v>-3047.625109414143</c:v>
                </c:pt>
                <c:pt idx="10">
                  <c:v>-4079.6496907796964</c:v>
                </c:pt>
                <c:pt idx="11">
                  <c:v>-5445.1756242995534</c:v>
                </c:pt>
                <c:pt idx="12">
                  <c:v>-7247.2189368784875</c:v>
                </c:pt>
                <c:pt idx="13">
                  <c:v>-9619.3432069620576</c:v>
                </c:pt>
                <c:pt idx="14">
                  <c:v>-12734.45423852215</c:v>
                </c:pt>
                <c:pt idx="15">
                  <c:v>-16536.073976832398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8-4A8C-9B9B-50CC8139C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520256"/>
        <c:axId val="225520816"/>
      </c:lineChart>
      <c:catAx>
        <c:axId val="225520256"/>
        <c:scaling>
          <c:orientation val="minMax"/>
        </c:scaling>
        <c:delete val="0"/>
        <c:axPos val="b"/>
        <c:numFmt formatCode="0.00;[Red]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20816"/>
        <c:crosses val="autoZero"/>
        <c:auto val="1"/>
        <c:lblAlgn val="ctr"/>
        <c:lblOffset val="100"/>
        <c:noMultiLvlLbl val="0"/>
      </c:catAx>
      <c:valAx>
        <c:axId val="2255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CFAT(DDB Mehtod)</a:t>
            </a:r>
          </a:p>
        </c:rich>
      </c:tx>
      <c:layout>
        <c:manualLayout>
          <c:xMode val="edge"/>
          <c:yMode val="edge"/>
          <c:x val="0.40517344706911629"/>
          <c:y val="2.8774286598367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724755283000575E-2"/>
          <c:y val="0.18039417973501137"/>
          <c:w val="0.89655796150481193"/>
          <c:h val="0.6658409886264217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'Part B,C,D,E,F'!$R$94:$R$109</c:f>
              <c:numCache>
                <c:formatCode>0.00;[Red]0.00</c:formatCode>
                <c:ptCount val="16"/>
                <c:pt idx="0">
                  <c:v>-3587.5</c:v>
                </c:pt>
                <c:pt idx="1">
                  <c:v>-3000</c:v>
                </c:pt>
                <c:pt idx="2">
                  <c:v>-3823.75</c:v>
                </c:pt>
                <c:pt idx="3">
                  <c:v>-218.63457754629627</c:v>
                </c:pt>
                <c:pt idx="4">
                  <c:v>-360.60341186824871</c:v>
                </c:pt>
                <c:pt idx="5">
                  <c:v>-564.40305629330294</c:v>
                </c:pt>
                <c:pt idx="6">
                  <c:v>-818.13667689045224</c:v>
                </c:pt>
                <c:pt idx="7">
                  <c:v>-1165.6876629351527</c:v>
                </c:pt>
                <c:pt idx="8">
                  <c:v>-1639.649570813327</c:v>
                </c:pt>
                <c:pt idx="9">
                  <c:v>-2282.8679793575207</c:v>
                </c:pt>
                <c:pt idx="10">
                  <c:v>-3151.5253428949545</c:v>
                </c:pt>
                <c:pt idx="11">
                  <c:v>-5788.5767009912342</c:v>
                </c:pt>
                <c:pt idx="12">
                  <c:v>-7867.9030501674279</c:v>
                </c:pt>
                <c:pt idx="13">
                  <c:v>-10640.893748488044</c:v>
                </c:pt>
                <c:pt idx="14">
                  <c:v>-14324.136713134612</c:v>
                </c:pt>
                <c:pt idx="15">
                  <c:v>-18918.777887186996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D-4324-89D6-198DBFFBA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523056"/>
        <c:axId val="225523616"/>
      </c:lineChart>
      <c:catAx>
        <c:axId val="2255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23616"/>
        <c:crosses val="autoZero"/>
        <c:auto val="1"/>
        <c:lblAlgn val="ctr"/>
        <c:lblOffset val="100"/>
        <c:noMultiLvlLbl val="0"/>
      </c:catAx>
      <c:valAx>
        <c:axId val="2255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CFDB,CFAT(SL),CFAT(SYD),CFAT(DDB)  In one chart</a:t>
            </a:r>
          </a:p>
        </c:rich>
      </c:tx>
      <c:layout>
        <c:manualLayout>
          <c:xMode val="edge"/>
          <c:yMode val="edge"/>
          <c:x val="0.36033599679241801"/>
          <c:y val="7.7485228279990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090347051129326E-2"/>
          <c:y val="0.18328515374495064"/>
          <c:w val="0.89655796150481193"/>
          <c:h val="0.66584098862642171"/>
        </c:manualLayout>
      </c:layout>
      <c:lineChart>
        <c:grouping val="standard"/>
        <c:varyColors val="0"/>
        <c:ser>
          <c:idx val="0"/>
          <c:order val="0"/>
          <c:tx>
            <c:v>CFBT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'Part B,C,D,E,F'!$N$51:$N$66</c:f>
              <c:numCache>
                <c:formatCode>0.00;[Red]0.00</c:formatCode>
                <c:ptCount val="16"/>
                <c:pt idx="0">
                  <c:v>-3587.5</c:v>
                </c:pt>
                <c:pt idx="1">
                  <c:v>-3000</c:v>
                </c:pt>
                <c:pt idx="2">
                  <c:v>-3823.75</c:v>
                </c:pt>
                <c:pt idx="3">
                  <c:v>-684.984375</c:v>
                </c:pt>
                <c:pt idx="4">
                  <c:v>-941.31327343750036</c:v>
                </c:pt>
                <c:pt idx="5">
                  <c:v>-1302.8124694335947</c:v>
                </c:pt>
                <c:pt idx="6">
                  <c:v>-1732.5771304241225</c:v>
                </c:pt>
                <c:pt idx="7">
                  <c:v>-2309.8507231799194</c:v>
                </c:pt>
                <c:pt idx="8">
                  <c:v>-3082.3708100772456</c:v>
                </c:pt>
                <c:pt idx="9">
                  <c:v>-4112.500145885524</c:v>
                </c:pt>
                <c:pt idx="10">
                  <c:v>-5481.5329210395939</c:v>
                </c:pt>
                <c:pt idx="11">
                  <c:v>-7295.2341657327379</c:v>
                </c:pt>
                <c:pt idx="12">
                  <c:v>-9690.9585825046488</c:v>
                </c:pt>
                <c:pt idx="13">
                  <c:v>-12846.790942616077</c:v>
                </c:pt>
                <c:pt idx="14">
                  <c:v>-16993.272318029536</c:v>
                </c:pt>
                <c:pt idx="15">
                  <c:v>-22148.431969109864</c:v>
                </c:pt>
              </c:numCache>
            </c:numRef>
          </c:cat>
          <c:val>
            <c:numRef>
              <c:f>'Part B,C,D,E,F'!$N$27:$N$42</c:f>
              <c:numCache>
                <c:formatCode>0.00_);[Red]\(0.00\)</c:formatCode>
                <c:ptCount val="16"/>
                <c:pt idx="0">
                  <c:v>-3587.5</c:v>
                </c:pt>
                <c:pt idx="1">
                  <c:v>-3000</c:v>
                </c:pt>
                <c:pt idx="2">
                  <c:v>-3823.75</c:v>
                </c:pt>
                <c:pt idx="3">
                  <c:v>-684.984375</c:v>
                </c:pt>
                <c:pt idx="4">
                  <c:v>-941.31327343750036</c:v>
                </c:pt>
                <c:pt idx="5">
                  <c:v>-1302.8124694335947</c:v>
                </c:pt>
                <c:pt idx="6">
                  <c:v>-1732.5771304241225</c:v>
                </c:pt>
                <c:pt idx="7">
                  <c:v>-2309.8507231799194</c:v>
                </c:pt>
                <c:pt idx="8">
                  <c:v>-3082.3708100772456</c:v>
                </c:pt>
                <c:pt idx="9">
                  <c:v>-4112.500145885524</c:v>
                </c:pt>
                <c:pt idx="10">
                  <c:v>-5481.5329210395939</c:v>
                </c:pt>
                <c:pt idx="11">
                  <c:v>-7295.2341657327379</c:v>
                </c:pt>
                <c:pt idx="12">
                  <c:v>-9690.9585825046488</c:v>
                </c:pt>
                <c:pt idx="13">
                  <c:v>-12846.790942616077</c:v>
                </c:pt>
                <c:pt idx="14">
                  <c:v>-16993.272318029536</c:v>
                </c:pt>
                <c:pt idx="15">
                  <c:v>-22148.431969109864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5-4BDE-B6A3-FAEDA7F882C3}"/>
            </c:ext>
          </c:extLst>
        </c:ser>
        <c:ser>
          <c:idx val="1"/>
          <c:order val="1"/>
          <c:tx>
            <c:v>CFAT(SL)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'Part B,C,D,E,F'!$R$51:$R$66</c:f>
              <c:numCache>
                <c:formatCode>0.00;[Red]0.00</c:formatCode>
                <c:ptCount val="16"/>
                <c:pt idx="0">
                  <c:v>-3587.5</c:v>
                </c:pt>
                <c:pt idx="1">
                  <c:v>-2208</c:v>
                </c:pt>
                <c:pt idx="2">
                  <c:v>-2825.8125</c:v>
                </c:pt>
                <c:pt idx="3">
                  <c:v>-471.73828125</c:v>
                </c:pt>
                <c:pt idx="4">
                  <c:v>-663.98495507812527</c:v>
                </c:pt>
                <c:pt idx="5">
                  <c:v>-935.10935207519606</c:v>
                </c:pt>
                <c:pt idx="6">
                  <c:v>-1257.4328478180919</c:v>
                </c:pt>
                <c:pt idx="7">
                  <c:v>-1690.3880423849396</c:v>
                </c:pt>
                <c:pt idx="8">
                  <c:v>-2269.7781075579342</c:v>
                </c:pt>
                <c:pt idx="9">
                  <c:v>-3042.375109414143</c:v>
                </c:pt>
                <c:pt idx="10">
                  <c:v>-4069.1496907796964</c:v>
                </c:pt>
                <c:pt idx="11">
                  <c:v>-5429.4256242995534</c:v>
                </c:pt>
                <c:pt idx="12">
                  <c:v>-7226.2189368784875</c:v>
                </c:pt>
                <c:pt idx="13">
                  <c:v>-9593.0932069620576</c:v>
                </c:pt>
                <c:pt idx="14">
                  <c:v>-12702.95423852215</c:v>
                </c:pt>
                <c:pt idx="15">
                  <c:v>-16499.323976832398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85-4BDE-B6A3-FAEDA7F882C3}"/>
            </c:ext>
          </c:extLst>
        </c:ser>
        <c:ser>
          <c:idx val="3"/>
          <c:order val="2"/>
          <c:tx>
            <c:v>CFAT(DDL)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'Part B,C,D,E,F'!$R$94:$R$109</c:f>
              <c:numCache>
                <c:formatCode>0.00;[Red]0.00</c:formatCode>
                <c:ptCount val="16"/>
                <c:pt idx="0">
                  <c:v>-3587.5</c:v>
                </c:pt>
                <c:pt idx="1">
                  <c:v>-3000</c:v>
                </c:pt>
                <c:pt idx="2">
                  <c:v>-3823.75</c:v>
                </c:pt>
                <c:pt idx="3">
                  <c:v>-218.63457754629627</c:v>
                </c:pt>
                <c:pt idx="4">
                  <c:v>-360.60341186824871</c:v>
                </c:pt>
                <c:pt idx="5">
                  <c:v>-564.40305629330294</c:v>
                </c:pt>
                <c:pt idx="6">
                  <c:v>-818.13667689045224</c:v>
                </c:pt>
                <c:pt idx="7">
                  <c:v>-1165.6876629351527</c:v>
                </c:pt>
                <c:pt idx="8">
                  <c:v>-1639.649570813327</c:v>
                </c:pt>
                <c:pt idx="9">
                  <c:v>-2282.8679793575207</c:v>
                </c:pt>
                <c:pt idx="10">
                  <c:v>-3151.5253428949545</c:v>
                </c:pt>
                <c:pt idx="11">
                  <c:v>-5788.5767009912342</c:v>
                </c:pt>
                <c:pt idx="12">
                  <c:v>-7867.9030501674279</c:v>
                </c:pt>
                <c:pt idx="13">
                  <c:v>-10640.893748488044</c:v>
                </c:pt>
                <c:pt idx="14">
                  <c:v>-14324.136713134612</c:v>
                </c:pt>
                <c:pt idx="15">
                  <c:v>-18918.777887186996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85-4BDE-B6A3-FAEDA7F882C3}"/>
            </c:ext>
          </c:extLst>
        </c:ser>
        <c:ser>
          <c:idx val="2"/>
          <c:order val="3"/>
          <c:tx>
            <c:v>CFAT(SYD)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'Part B,C,D,E,F'!$R$72:$R$87</c:f>
              <c:numCache>
                <c:formatCode>0.00;[Red]0.00</c:formatCode>
                <c:ptCount val="16"/>
                <c:pt idx="0">
                  <c:v>-3587.5</c:v>
                </c:pt>
                <c:pt idx="1">
                  <c:v>-2171.25</c:v>
                </c:pt>
                <c:pt idx="2">
                  <c:v>-2794.3125</c:v>
                </c:pt>
                <c:pt idx="3">
                  <c:v>-445.48828125</c:v>
                </c:pt>
                <c:pt idx="4">
                  <c:v>-642.98495507812527</c:v>
                </c:pt>
                <c:pt idx="5">
                  <c:v>-919.35935207519606</c:v>
                </c:pt>
                <c:pt idx="6">
                  <c:v>-1246.9328478180919</c:v>
                </c:pt>
                <c:pt idx="7">
                  <c:v>-1685.1380423849396</c:v>
                </c:pt>
                <c:pt idx="8">
                  <c:v>-2269.7781075579342</c:v>
                </c:pt>
                <c:pt idx="9">
                  <c:v>-3047.625109414143</c:v>
                </c:pt>
                <c:pt idx="10">
                  <c:v>-4079.6496907796964</c:v>
                </c:pt>
                <c:pt idx="11">
                  <c:v>-5445.1756242995534</c:v>
                </c:pt>
                <c:pt idx="12">
                  <c:v>-7247.2189368784875</c:v>
                </c:pt>
                <c:pt idx="13">
                  <c:v>-9619.3432069620576</c:v>
                </c:pt>
                <c:pt idx="14">
                  <c:v>-12734.45423852215</c:v>
                </c:pt>
                <c:pt idx="15">
                  <c:v>-16536.073976832398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85-4BDE-B6A3-FAEDA7F8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06624"/>
        <c:axId val="160107184"/>
      </c:lineChart>
      <c:catAx>
        <c:axId val="160106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7184"/>
        <c:crosses val="autoZero"/>
        <c:auto val="1"/>
        <c:lblAlgn val="ctr"/>
        <c:lblOffset val="100"/>
        <c:noMultiLvlLbl val="0"/>
      </c:catAx>
      <c:valAx>
        <c:axId val="1601071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6624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TYOR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'Part B,C,D,E,F'!$F$196:$F$200</c:f>
              <c:numCache>
                <c:formatCode>0.00;[Red]0.00</c:formatCode>
                <c:ptCount val="5"/>
                <c:pt idx="0">
                  <c:v>-23325.351424140001</c:v>
                </c:pt>
                <c:pt idx="1">
                  <c:v>-18293.6105013212</c:v>
                </c:pt>
                <c:pt idx="2">
                  <c:v>-13368.588888849599</c:v>
                </c:pt>
                <c:pt idx="3">
                  <c:v>-8012.2255253575104</c:v>
                </c:pt>
                <c:pt idx="4">
                  <c:v>-2955.4669655279899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F-4D13-9821-650651AB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992224"/>
        <c:axId val="225992784"/>
      </c:lineChart>
      <c:catAx>
        <c:axId val="225992224"/>
        <c:scaling>
          <c:orientation val="minMax"/>
        </c:scaling>
        <c:delete val="0"/>
        <c:axPos val="b"/>
        <c:numFmt formatCode="0.00;[Red]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92784"/>
        <c:crosses val="autoZero"/>
        <c:auto val="1"/>
        <c:lblAlgn val="ctr"/>
        <c:lblOffset val="100"/>
        <c:noMultiLvlLbl val="0"/>
      </c:catAx>
      <c:valAx>
        <c:axId val="2259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PWs</a:t>
                </a:r>
              </a:p>
            </c:rich>
          </c:tx>
          <c:layout>
            <c:manualLayout>
              <c:xMode val="edge"/>
              <c:yMode val="edge"/>
              <c:x val="2.1133522259256732E-2"/>
              <c:y val="0.27787000583260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9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FYHRC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'Part B,C,D,E,F'!$M$196:$M$200</c:f>
              <c:numCache>
                <c:formatCode>0.00;[Red]0.00</c:formatCode>
                <c:ptCount val="5"/>
                <c:pt idx="0">
                  <c:v>6095.8127147214</c:v>
                </c:pt>
                <c:pt idx="1">
                  <c:v>1033.4321412423401</c:v>
                </c:pt>
                <c:pt idx="2">
                  <c:v>-13368.588888849599</c:v>
                </c:pt>
                <c:pt idx="3">
                  <c:v>-15621.9123124241</c:v>
                </c:pt>
                <c:pt idx="4">
                  <c:v>-19363.268165713202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9-4631-9C2D-87282F400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800208"/>
        <c:axId val="225800768"/>
      </c:lineChart>
      <c:catAx>
        <c:axId val="225800208"/>
        <c:scaling>
          <c:orientation val="minMax"/>
        </c:scaling>
        <c:delete val="0"/>
        <c:axPos val="b"/>
        <c:numFmt formatCode="0.00;[Red]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00768"/>
        <c:crosses val="autoZero"/>
        <c:auto val="1"/>
        <c:lblAlgn val="ctr"/>
        <c:lblOffset val="100"/>
        <c:noMultiLvlLbl val="0"/>
      </c:catAx>
      <c:valAx>
        <c:axId val="2258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2231445027704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Usefull</a:t>
            </a:r>
            <a:r>
              <a:rPr lang="en-US" baseline="0"/>
              <a:t> life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Usefull Life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'Part B,C,D,E,F'!$F$222:$F$229</c:f>
              <c:numCache>
                <c:formatCode>0.00;[Red]0.00</c:formatCode>
                <c:ptCount val="8"/>
                <c:pt idx="0">
                  <c:v>-8951.5973926084298</c:v>
                </c:pt>
                <c:pt idx="1">
                  <c:v>-10122.886627960899</c:v>
                </c:pt>
                <c:pt idx="2">
                  <c:v>-12421.912312412</c:v>
                </c:pt>
                <c:pt idx="3">
                  <c:v>-13368.588888849599</c:v>
                </c:pt>
                <c:pt idx="4">
                  <c:v>-14923.175863312999</c:v>
                </c:pt>
                <c:pt idx="5">
                  <c:v>-15932.360039792</c:v>
                </c:pt>
                <c:pt idx="6">
                  <c:v>-17011.998172151601</c:v>
                </c:pt>
                <c:pt idx="7">
                  <c:v>-17897.9389417643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A9-42EB-9298-2BBC84A0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992224"/>
        <c:axId val="225992784"/>
      </c:lineChart>
      <c:catAx>
        <c:axId val="225992224"/>
        <c:scaling>
          <c:orientation val="minMax"/>
        </c:scaling>
        <c:delete val="0"/>
        <c:axPos val="b"/>
        <c:numFmt formatCode="0.00;[Red]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92784"/>
        <c:crosses val="autoZero"/>
        <c:auto val="1"/>
        <c:lblAlgn val="ctr"/>
        <c:lblOffset val="100"/>
        <c:noMultiLvlLbl val="0"/>
      </c:catAx>
      <c:valAx>
        <c:axId val="2259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PWs</a:t>
                </a:r>
              </a:p>
            </c:rich>
          </c:tx>
          <c:layout>
            <c:manualLayout>
              <c:xMode val="edge"/>
              <c:yMode val="edge"/>
              <c:x val="2.1133522259256732E-2"/>
              <c:y val="0.27787000583260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9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48</xdr:row>
      <xdr:rowOff>0</xdr:rowOff>
    </xdr:from>
    <xdr:to>
      <xdr:col>16</xdr:col>
      <xdr:colOff>177634</xdr:colOff>
      <xdr:row>82</xdr:row>
      <xdr:rowOff>83695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115</xdr:row>
      <xdr:rowOff>91438</xdr:rowOff>
    </xdr:from>
    <xdr:to>
      <xdr:col>8</xdr:col>
      <xdr:colOff>670560</xdr:colOff>
      <xdr:row>130</xdr:row>
      <xdr:rowOff>110875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43542</xdr:colOff>
      <xdr:row>131</xdr:row>
      <xdr:rowOff>71847</xdr:rowOff>
    </xdr:from>
    <xdr:to>
      <xdr:col>8</xdr:col>
      <xdr:colOff>715545</xdr:colOff>
      <xdr:row>146</xdr:row>
      <xdr:rowOff>60960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71845</xdr:colOff>
      <xdr:row>147</xdr:row>
      <xdr:rowOff>89263</xdr:rowOff>
    </xdr:from>
    <xdr:to>
      <xdr:col>8</xdr:col>
      <xdr:colOff>688730</xdr:colOff>
      <xdr:row>162</xdr:row>
      <xdr:rowOff>60960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71844</xdr:colOff>
      <xdr:row>163</xdr:row>
      <xdr:rowOff>41366</xdr:rowOff>
    </xdr:from>
    <xdr:to>
      <xdr:col>8</xdr:col>
      <xdr:colOff>723900</xdr:colOff>
      <xdr:row>181</xdr:row>
      <xdr:rowOff>100973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1147483</xdr:colOff>
      <xdr:row>115</xdr:row>
      <xdr:rowOff>60960</xdr:rowOff>
    </xdr:from>
    <xdr:to>
      <xdr:col>31</xdr:col>
      <xdr:colOff>365796</xdr:colOff>
      <xdr:row>181</xdr:row>
      <xdr:rowOff>91440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259772</xdr:colOff>
      <xdr:row>189</xdr:row>
      <xdr:rowOff>44886</xdr:rowOff>
    </xdr:from>
    <xdr:to>
      <xdr:col>9</xdr:col>
      <xdr:colOff>502228</xdr:colOff>
      <xdr:row>210</xdr:row>
      <xdr:rowOff>103910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870857</xdr:colOff>
      <xdr:row>191</xdr:row>
      <xdr:rowOff>119742</xdr:rowOff>
    </xdr:from>
    <xdr:to>
      <xdr:col>18</xdr:col>
      <xdr:colOff>326572</xdr:colOff>
      <xdr:row>212</xdr:row>
      <xdr:rowOff>141514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188259</xdr:colOff>
      <xdr:row>216</xdr:row>
      <xdr:rowOff>152400</xdr:rowOff>
    </xdr:from>
    <xdr:to>
      <xdr:col>9</xdr:col>
      <xdr:colOff>430715</xdr:colOff>
      <xdr:row>239</xdr:row>
      <xdr:rowOff>94883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843280</xdr:colOff>
      <xdr:row>217</xdr:row>
      <xdr:rowOff>121920</xdr:rowOff>
    </xdr:from>
    <xdr:to>
      <xdr:col>18</xdr:col>
      <xdr:colOff>298995</xdr:colOff>
      <xdr:row>239</xdr:row>
      <xdr:rowOff>164012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179294</xdr:colOff>
      <xdr:row>244</xdr:row>
      <xdr:rowOff>100853</xdr:rowOff>
    </xdr:from>
    <xdr:to>
      <xdr:col>9</xdr:col>
      <xdr:colOff>421750</xdr:colOff>
      <xdr:row>267</xdr:row>
      <xdr:rowOff>121778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2948609</xdr:colOff>
      <xdr:row>249</xdr:row>
      <xdr:rowOff>0</xdr:rowOff>
    </xdr:from>
    <xdr:to>
      <xdr:col>31</xdr:col>
      <xdr:colOff>99391</xdr:colOff>
      <xdr:row>293</xdr:row>
      <xdr:rowOff>99392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0" sqref="B30"/>
    </sheetView>
  </sheetViews>
  <sheetFormatPr defaultRowHeight="14.4" x14ac:dyDescent="0.3"/>
  <cols>
    <col min="1" max="1" width="17.88671875" customWidth="1"/>
    <col min="2" max="2" width="20.8867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 s="1" t="s">
        <v>3</v>
      </c>
    </row>
    <row r="3" spans="1:2" x14ac:dyDescent="0.3">
      <c r="A3" s="1" t="s">
        <v>4</v>
      </c>
      <c r="B3" s="1">
        <v>9531424</v>
      </c>
    </row>
    <row r="4" spans="1:2" x14ac:dyDescent="0.3">
      <c r="A4" s="1" t="s">
        <v>5</v>
      </c>
      <c r="B4" s="1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zoomScale="25" zoomScaleNormal="25" workbookViewId="0">
      <selection activeCell="P42" sqref="P42"/>
    </sheetView>
  </sheetViews>
  <sheetFormatPr defaultRowHeight="14.4" x14ac:dyDescent="0.3"/>
  <cols>
    <col min="1" max="1" width="44.21875" customWidth="1"/>
    <col min="2" max="2" width="37" customWidth="1"/>
    <col min="4" max="7" width="23.109375" customWidth="1"/>
    <col min="8" max="8" width="29.44140625" customWidth="1"/>
    <col min="9" max="9" width="32.77734375" customWidth="1"/>
    <col min="10" max="10" width="35.6640625" customWidth="1"/>
    <col min="11" max="11" width="30.6640625" customWidth="1"/>
    <col min="12" max="12" width="27.109375" customWidth="1"/>
    <col min="13" max="13" width="21" customWidth="1"/>
    <col min="14" max="14" width="24.88671875" customWidth="1"/>
    <col min="15" max="15" width="27.109375" customWidth="1"/>
    <col min="16" max="16" width="31.88671875" customWidth="1"/>
    <col min="17" max="17" width="23.109375" customWidth="1"/>
    <col min="18" max="18" width="22.44140625" customWidth="1"/>
    <col min="19" max="19" width="28.6640625" customWidth="1"/>
    <col min="20" max="20" width="20.21875" customWidth="1"/>
  </cols>
  <sheetData>
    <row r="1" spans="1:12" x14ac:dyDescent="0.3">
      <c r="A1" s="6" t="s">
        <v>10</v>
      </c>
      <c r="B1" s="6" t="s">
        <v>11</v>
      </c>
      <c r="D1" s="6"/>
      <c r="E1" s="5"/>
      <c r="F1" s="5"/>
      <c r="G1" s="5"/>
      <c r="H1" s="5"/>
      <c r="I1" s="5"/>
      <c r="J1" s="5"/>
      <c r="K1" s="5"/>
      <c r="L1" s="5"/>
    </row>
    <row r="2" spans="1:12" x14ac:dyDescent="0.3">
      <c r="A2" s="2" t="s">
        <v>7</v>
      </c>
      <c r="B2" s="11">
        <f>(9+5+3+1+4+2+4)*100</f>
        <v>2800</v>
      </c>
      <c r="D2" s="3"/>
      <c r="E2" s="16"/>
      <c r="F2" s="49" t="s">
        <v>28</v>
      </c>
      <c r="G2" s="49"/>
      <c r="H2" s="49"/>
      <c r="I2" s="49"/>
      <c r="J2" s="49"/>
      <c r="K2" s="49"/>
    </row>
    <row r="3" spans="1:12" x14ac:dyDescent="0.3">
      <c r="A3" s="2" t="s">
        <v>8</v>
      </c>
      <c r="B3" s="11">
        <f>(3+1+4+2+4)*75</f>
        <v>1050</v>
      </c>
      <c r="D3" s="3"/>
      <c r="E3" s="50" t="s">
        <v>26</v>
      </c>
      <c r="F3" s="50"/>
      <c r="G3" s="50"/>
      <c r="H3" s="51" t="s">
        <v>27</v>
      </c>
      <c r="I3" s="51"/>
      <c r="J3" s="51"/>
      <c r="K3" s="17" t="s">
        <v>29</v>
      </c>
      <c r="L3" s="18" t="s">
        <v>30</v>
      </c>
    </row>
    <row r="4" spans="1:12" x14ac:dyDescent="0.3">
      <c r="A4" s="2" t="s">
        <v>9</v>
      </c>
      <c r="B4" s="11">
        <f>(4+2+4)*50</f>
        <v>500</v>
      </c>
      <c r="D4" s="3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24</v>
      </c>
      <c r="J4" s="2" t="s">
        <v>25</v>
      </c>
      <c r="K4" s="2"/>
      <c r="L4" s="2"/>
    </row>
    <row r="5" spans="1:12" x14ac:dyDescent="0.3">
      <c r="D5" s="12">
        <v>0</v>
      </c>
      <c r="E5" s="13">
        <f>$B$3/4</f>
        <v>262.5</v>
      </c>
      <c r="F5" s="13">
        <f>$B$3/2</f>
        <v>525</v>
      </c>
      <c r="G5" s="13">
        <f>$B$2</f>
        <v>2800</v>
      </c>
      <c r="H5" s="14"/>
      <c r="I5" s="14"/>
      <c r="J5" s="14"/>
      <c r="K5" s="14"/>
      <c r="L5" s="14"/>
    </row>
    <row r="6" spans="1:12" x14ac:dyDescent="0.3">
      <c r="D6" s="12">
        <v>1</v>
      </c>
      <c r="E6" s="14"/>
      <c r="F6" s="14"/>
      <c r="G6" s="14"/>
      <c r="H6" s="13">
        <f>3*B4</f>
        <v>1500</v>
      </c>
      <c r="I6" s="13">
        <f>2*B4</f>
        <v>1000</v>
      </c>
      <c r="J6" s="13">
        <f>$B$4</f>
        <v>500</v>
      </c>
      <c r="K6" s="15">
        <v>0</v>
      </c>
      <c r="L6" s="14"/>
    </row>
    <row r="7" spans="1:12" x14ac:dyDescent="0.3">
      <c r="A7" s="19"/>
      <c r="B7" s="19"/>
      <c r="D7" s="12">
        <v>2</v>
      </c>
      <c r="E7" s="14"/>
      <c r="F7" s="14"/>
      <c r="G7" s="14"/>
      <c r="H7" s="13">
        <f>15%*H6+H6</f>
        <v>1725</v>
      </c>
      <c r="I7" s="13">
        <f>10%*I6+I6</f>
        <v>1100</v>
      </c>
      <c r="J7" s="13">
        <f t="shared" ref="J7:J20" si="0">$B$4</f>
        <v>500</v>
      </c>
      <c r="K7" s="15">
        <v>0</v>
      </c>
      <c r="L7" s="14"/>
    </row>
    <row r="8" spans="1:12" x14ac:dyDescent="0.3">
      <c r="A8" s="9" t="s">
        <v>12</v>
      </c>
      <c r="B8" s="9">
        <v>15</v>
      </c>
      <c r="D8" s="12">
        <v>3</v>
      </c>
      <c r="E8" s="14"/>
      <c r="F8" s="14"/>
      <c r="G8" s="14"/>
      <c r="H8" s="13">
        <f>15%*H7+H7</f>
        <v>1983.75</v>
      </c>
      <c r="I8" s="13">
        <f t="shared" ref="I8:I20" si="1">10%*I7+I7</f>
        <v>1210</v>
      </c>
      <c r="J8" s="13">
        <f t="shared" si="0"/>
        <v>500</v>
      </c>
      <c r="K8" s="14">
        <f>4*B3</f>
        <v>4200</v>
      </c>
      <c r="L8" s="14"/>
    </row>
    <row r="9" spans="1:12" x14ac:dyDescent="0.3">
      <c r="A9" s="9" t="s">
        <v>13</v>
      </c>
      <c r="B9" s="7">
        <v>0.25</v>
      </c>
      <c r="D9" s="12">
        <v>4</v>
      </c>
      <c r="E9" s="14"/>
      <c r="F9" s="14"/>
      <c r="G9" s="14"/>
      <c r="H9" s="13">
        <f t="shared" ref="H9:H20" si="2">15%*H8+H8</f>
        <v>2281.3125</v>
      </c>
      <c r="I9" s="13">
        <f t="shared" si="1"/>
        <v>1331</v>
      </c>
      <c r="J9" s="13">
        <f t="shared" si="0"/>
        <v>500</v>
      </c>
      <c r="K9" s="14">
        <f>10%*K8+K8</f>
        <v>4620</v>
      </c>
      <c r="L9" s="14"/>
    </row>
    <row r="10" spans="1:12" x14ac:dyDescent="0.3">
      <c r="A10" s="10" t="s">
        <v>14</v>
      </c>
      <c r="B10" s="7">
        <v>0.12</v>
      </c>
      <c r="D10" s="12">
        <v>5</v>
      </c>
      <c r="E10" s="14"/>
      <c r="F10" s="14"/>
      <c r="G10" s="14"/>
      <c r="H10" s="13">
        <f t="shared" si="2"/>
        <v>2623.5093750000001</v>
      </c>
      <c r="I10" s="13">
        <f t="shared" si="1"/>
        <v>1464.1</v>
      </c>
      <c r="J10" s="13">
        <f t="shared" si="0"/>
        <v>500</v>
      </c>
      <c r="K10" s="14">
        <f t="shared" ref="K10:K20" si="3">10%*K9+K9</f>
        <v>5082</v>
      </c>
      <c r="L10" s="14"/>
    </row>
    <row r="11" spans="1:12" x14ac:dyDescent="0.3">
      <c r="A11" s="9" t="s">
        <v>15</v>
      </c>
      <c r="B11" s="7">
        <v>0.15</v>
      </c>
      <c r="D11" s="12">
        <v>6</v>
      </c>
      <c r="E11" s="14"/>
      <c r="F11" s="14"/>
      <c r="G11" s="14"/>
      <c r="H11" s="13">
        <f t="shared" si="2"/>
        <v>3017.0357812500001</v>
      </c>
      <c r="I11" s="13">
        <f t="shared" si="1"/>
        <v>1610.51</v>
      </c>
      <c r="J11" s="13">
        <f t="shared" si="0"/>
        <v>500</v>
      </c>
      <c r="K11" s="14">
        <f t="shared" si="3"/>
        <v>5590.2</v>
      </c>
      <c r="L11" s="14"/>
    </row>
    <row r="12" spans="1:12" x14ac:dyDescent="0.3">
      <c r="A12" s="9" t="s">
        <v>16</v>
      </c>
      <c r="B12" s="7">
        <v>0.1</v>
      </c>
      <c r="D12" s="12">
        <v>7</v>
      </c>
      <c r="E12" s="14"/>
      <c r="F12" s="14"/>
      <c r="G12" s="14"/>
      <c r="H12" s="13">
        <f t="shared" si="2"/>
        <v>3469.5911484375001</v>
      </c>
      <c r="I12" s="13">
        <f t="shared" si="1"/>
        <v>1771.5609999999999</v>
      </c>
      <c r="J12" s="13">
        <f t="shared" si="0"/>
        <v>500</v>
      </c>
      <c r="K12" s="14">
        <f t="shared" si="3"/>
        <v>6149.2199999999993</v>
      </c>
      <c r="L12" s="14"/>
    </row>
    <row r="13" spans="1:12" ht="15.6" x14ac:dyDescent="0.3">
      <c r="A13" s="9" t="s">
        <v>17</v>
      </c>
      <c r="B13" s="8">
        <f>B11+B10+B11*B10</f>
        <v>0.28800000000000003</v>
      </c>
      <c r="D13" s="12">
        <v>8</v>
      </c>
      <c r="E13" s="14"/>
      <c r="F13" s="14"/>
      <c r="G13" s="14"/>
      <c r="H13" s="13">
        <f t="shared" si="2"/>
        <v>3990.0298207031251</v>
      </c>
      <c r="I13" s="13">
        <f t="shared" si="1"/>
        <v>1948.7170999999998</v>
      </c>
      <c r="J13" s="13">
        <f t="shared" si="0"/>
        <v>500</v>
      </c>
      <c r="K13" s="14">
        <f t="shared" si="3"/>
        <v>6764.1419999999998</v>
      </c>
      <c r="L13" s="14"/>
    </row>
    <row r="14" spans="1:12" ht="15.6" x14ac:dyDescent="0.3">
      <c r="A14" s="9" t="s">
        <v>18</v>
      </c>
      <c r="B14" s="8">
        <f>B12+B10+B12*B10</f>
        <v>0.23200000000000001</v>
      </c>
      <c r="D14" s="12">
        <v>9</v>
      </c>
      <c r="E14" s="14"/>
      <c r="F14" s="14"/>
      <c r="G14" s="14"/>
      <c r="H14" s="13">
        <f t="shared" si="2"/>
        <v>4588.5342938085942</v>
      </c>
      <c r="I14" s="13">
        <f t="shared" si="1"/>
        <v>2143.5888099999997</v>
      </c>
      <c r="J14" s="13">
        <f t="shared" si="0"/>
        <v>500</v>
      </c>
      <c r="K14" s="14">
        <f t="shared" si="3"/>
        <v>7440.5562</v>
      </c>
      <c r="L14" s="14"/>
    </row>
    <row r="15" spans="1:12" x14ac:dyDescent="0.3">
      <c r="D15" s="12">
        <v>10</v>
      </c>
      <c r="E15" s="14"/>
      <c r="F15" s="14"/>
      <c r="G15" s="14"/>
      <c r="H15" s="13">
        <f t="shared" si="2"/>
        <v>5276.8144378798834</v>
      </c>
      <c r="I15" s="13">
        <f t="shared" si="1"/>
        <v>2357.9476909999998</v>
      </c>
      <c r="J15" s="13">
        <f t="shared" si="0"/>
        <v>500</v>
      </c>
      <c r="K15" s="14">
        <f t="shared" si="3"/>
        <v>8184.6118200000001</v>
      </c>
      <c r="L15" s="14"/>
    </row>
    <row r="16" spans="1:12" x14ac:dyDescent="0.3">
      <c r="D16" s="12">
        <v>11</v>
      </c>
      <c r="E16" s="14"/>
      <c r="F16" s="14"/>
      <c r="G16" s="14"/>
      <c r="H16" s="13">
        <f t="shared" si="2"/>
        <v>6068.3366035618656</v>
      </c>
      <c r="I16" s="13">
        <f t="shared" si="1"/>
        <v>2593.7424600999998</v>
      </c>
      <c r="J16" s="13">
        <f t="shared" si="0"/>
        <v>500</v>
      </c>
      <c r="K16" s="14">
        <f t="shared" si="3"/>
        <v>9003.073002000001</v>
      </c>
      <c r="L16" s="14"/>
    </row>
    <row r="17" spans="4:17" x14ac:dyDescent="0.3">
      <c r="D17" s="12">
        <v>12</v>
      </c>
      <c r="E17" s="14"/>
      <c r="F17" s="14"/>
      <c r="G17" s="14"/>
      <c r="H17" s="13">
        <f t="shared" si="2"/>
        <v>6978.5870940961449</v>
      </c>
      <c r="I17" s="13">
        <f t="shared" si="1"/>
        <v>2853.1167061099995</v>
      </c>
      <c r="J17" s="13">
        <f t="shared" si="0"/>
        <v>500</v>
      </c>
      <c r="K17" s="14">
        <f t="shared" si="3"/>
        <v>9903.3803022000011</v>
      </c>
      <c r="L17" s="14"/>
    </row>
    <row r="18" spans="4:17" x14ac:dyDescent="0.3">
      <c r="D18" s="12">
        <v>13</v>
      </c>
      <c r="E18" s="14"/>
      <c r="F18" s="14"/>
      <c r="G18" s="14"/>
      <c r="H18" s="13">
        <f t="shared" si="2"/>
        <v>8025.375158210567</v>
      </c>
      <c r="I18" s="13">
        <f t="shared" si="1"/>
        <v>3138.4283767209995</v>
      </c>
      <c r="J18" s="13">
        <f t="shared" si="0"/>
        <v>500</v>
      </c>
      <c r="K18" s="14">
        <f t="shared" si="3"/>
        <v>10893.718332420001</v>
      </c>
      <c r="L18" s="14"/>
    </row>
    <row r="19" spans="4:17" x14ac:dyDescent="0.3">
      <c r="D19" s="12">
        <v>14</v>
      </c>
      <c r="E19" s="14"/>
      <c r="F19" s="14"/>
      <c r="G19" s="14"/>
      <c r="H19" s="13">
        <f t="shared" si="2"/>
        <v>9229.1814319421519</v>
      </c>
      <c r="I19" s="13">
        <f t="shared" si="1"/>
        <v>3452.2712143930994</v>
      </c>
      <c r="J19" s="13">
        <f t="shared" si="0"/>
        <v>500</v>
      </c>
      <c r="K19" s="14">
        <f t="shared" si="3"/>
        <v>11983.090165662001</v>
      </c>
      <c r="L19" s="14"/>
    </row>
    <row r="20" spans="4:17" x14ac:dyDescent="0.3">
      <c r="D20" s="12">
        <v>15</v>
      </c>
      <c r="E20" s="14"/>
      <c r="F20" s="14"/>
      <c r="G20" s="14"/>
      <c r="H20" s="13">
        <f t="shared" si="2"/>
        <v>10613.558646733474</v>
      </c>
      <c r="I20" s="13">
        <f t="shared" si="1"/>
        <v>3797.4983358324093</v>
      </c>
      <c r="J20" s="13">
        <f t="shared" si="0"/>
        <v>500</v>
      </c>
      <c r="K20" s="14">
        <f t="shared" si="3"/>
        <v>13181.399182228201</v>
      </c>
      <c r="L20" s="14">
        <f>10%*G5</f>
        <v>280</v>
      </c>
    </row>
    <row r="23" spans="4:17" x14ac:dyDescent="0.3">
      <c r="D23" s="5"/>
      <c r="E23" s="5"/>
      <c r="F23" s="27"/>
      <c r="G23" s="27"/>
      <c r="H23" s="27"/>
      <c r="I23" s="27"/>
      <c r="J23" s="54" t="s">
        <v>33</v>
      </c>
      <c r="K23" s="27"/>
      <c r="L23" s="5"/>
      <c r="M23" s="5"/>
      <c r="N23" s="5"/>
      <c r="O23" s="5"/>
      <c r="P23" s="5"/>
    </row>
    <row r="24" spans="4:17" ht="28.8" x14ac:dyDescent="0.55000000000000004">
      <c r="D24" s="5"/>
      <c r="E24" s="5"/>
      <c r="F24" s="28"/>
      <c r="G24" s="28"/>
      <c r="H24" s="28"/>
      <c r="I24" s="28"/>
      <c r="J24" s="54"/>
      <c r="K24" s="28"/>
      <c r="L24" s="5"/>
      <c r="M24" s="5"/>
      <c r="N24" s="5"/>
      <c r="O24" s="5"/>
      <c r="P24" s="5"/>
    </row>
    <row r="26" spans="4:17" ht="15.6" x14ac:dyDescent="0.3">
      <c r="D26" s="52" t="s">
        <v>34</v>
      </c>
      <c r="E26" s="52"/>
      <c r="F26" s="52"/>
      <c r="G26" s="53" t="s">
        <v>35</v>
      </c>
      <c r="H26" s="53"/>
      <c r="I26" s="53"/>
      <c r="K26" s="17" t="s">
        <v>31</v>
      </c>
      <c r="L26" s="17" t="s">
        <v>75</v>
      </c>
      <c r="M26" s="17"/>
      <c r="N26" s="17"/>
      <c r="O26" s="17"/>
      <c r="P26" s="17"/>
      <c r="Q26" s="21"/>
    </row>
    <row r="27" spans="4:17" ht="18" x14ac:dyDescent="0.3">
      <c r="D27" s="22" t="s">
        <v>32</v>
      </c>
      <c r="E27" s="3" t="s">
        <v>57</v>
      </c>
      <c r="F27" s="3" t="s">
        <v>58</v>
      </c>
      <c r="G27" s="3" t="s">
        <v>32</v>
      </c>
      <c r="H27" s="3" t="s">
        <v>57</v>
      </c>
      <c r="I27" s="3" t="s">
        <v>58</v>
      </c>
      <c r="K27" s="22" t="s">
        <v>32</v>
      </c>
      <c r="L27" s="22" t="s">
        <v>36</v>
      </c>
      <c r="M27" s="22" t="s">
        <v>37</v>
      </c>
      <c r="N27" s="22" t="s">
        <v>61</v>
      </c>
      <c r="O27" s="22" t="s">
        <v>59</v>
      </c>
      <c r="P27" s="3" t="s">
        <v>60</v>
      </c>
    </row>
    <row r="28" spans="4:17" x14ac:dyDescent="0.3">
      <c r="D28" s="2">
        <v>0</v>
      </c>
      <c r="E28" s="2"/>
      <c r="F28" s="4">
        <f>G5</f>
        <v>2800</v>
      </c>
      <c r="G28" s="2">
        <v>0</v>
      </c>
      <c r="H28" s="2"/>
      <c r="I28" s="4">
        <f>G5</f>
        <v>2800</v>
      </c>
      <c r="K28" s="2">
        <v>0</v>
      </c>
      <c r="L28" s="2"/>
      <c r="M28" s="4">
        <f>G5</f>
        <v>2800</v>
      </c>
      <c r="N28" s="2"/>
      <c r="O28" s="2"/>
      <c r="P28" s="11">
        <f>G5</f>
        <v>2800</v>
      </c>
    </row>
    <row r="29" spans="4:17" x14ac:dyDescent="0.3">
      <c r="D29" s="2">
        <v>1</v>
      </c>
      <c r="E29" s="11">
        <f>SLN($F$28,$L$20,$B$8)</f>
        <v>168</v>
      </c>
      <c r="F29" s="11">
        <f>F28-E29</f>
        <v>2632</v>
      </c>
      <c r="G29" s="2">
        <v>1</v>
      </c>
      <c r="H29" s="11">
        <f>SYD($F$28,$L$20,$B$8,G29)</f>
        <v>315</v>
      </c>
      <c r="I29" s="11">
        <f>I28-H29</f>
        <v>2485</v>
      </c>
      <c r="K29" s="2">
        <v>1</v>
      </c>
      <c r="L29" s="11">
        <f>DDB($M$28,$L$20,15,K29)</f>
        <v>373.33333333333331</v>
      </c>
      <c r="M29" s="11">
        <f>M28-L29</f>
        <v>2426.6666666666665</v>
      </c>
      <c r="N29" s="11">
        <f>SLN(M28,$L$20,15)</f>
        <v>168</v>
      </c>
      <c r="O29" s="11">
        <f>DDB($M$28,$L$20,15,K29)</f>
        <v>373.33333333333331</v>
      </c>
      <c r="P29" s="11">
        <f>P28-O29</f>
        <v>2426.6666666666665</v>
      </c>
    </row>
    <row r="30" spans="4:17" x14ac:dyDescent="0.3">
      <c r="D30" s="2">
        <v>2</v>
      </c>
      <c r="E30" s="11">
        <f t="shared" ref="E30:E43" si="4">SLN($F$28,$L$20,$B$8)</f>
        <v>168</v>
      </c>
      <c r="F30" s="11">
        <f t="shared" ref="F30:F43" si="5">F29-E30</f>
        <v>2464</v>
      </c>
      <c r="G30" s="2">
        <v>2</v>
      </c>
      <c r="H30" s="11">
        <f t="shared" ref="H30:H43" si="6">SYD($F$28,$L$20,$B$8,G30)</f>
        <v>294</v>
      </c>
      <c r="I30" s="11">
        <f t="shared" ref="I30:I43" si="7">I29-H30</f>
        <v>2191</v>
      </c>
      <c r="K30" s="2">
        <v>2</v>
      </c>
      <c r="L30" s="11">
        <f t="shared" ref="L30:L43" si="8">DDB($M$28,$L$20,15,K30)</f>
        <v>323.5555555555556</v>
      </c>
      <c r="M30" s="11">
        <f t="shared" ref="M30:M43" si="9">M29-L30</f>
        <v>2103.1111111111109</v>
      </c>
      <c r="N30" s="11">
        <f t="shared" ref="N30:N43" si="10">SLN(M29,$L$20,15)</f>
        <v>143.11111111111111</v>
      </c>
      <c r="O30" s="11">
        <f t="shared" ref="O30:O43" si="11">DDB($M$28,$L$20,15,K30)</f>
        <v>323.5555555555556</v>
      </c>
      <c r="P30" s="11">
        <f t="shared" ref="P30:P43" si="12">P29-O30</f>
        <v>2103.1111111111109</v>
      </c>
    </row>
    <row r="31" spans="4:17" x14ac:dyDescent="0.3">
      <c r="D31" s="2">
        <v>3</v>
      </c>
      <c r="E31" s="11">
        <f t="shared" si="4"/>
        <v>168</v>
      </c>
      <c r="F31" s="11">
        <f t="shared" si="5"/>
        <v>2296</v>
      </c>
      <c r="G31" s="2">
        <v>3</v>
      </c>
      <c r="H31" s="11">
        <f>SYD($F$28,$L$20,$B$8,G31)</f>
        <v>273</v>
      </c>
      <c r="I31" s="11">
        <f t="shared" si="7"/>
        <v>1918</v>
      </c>
      <c r="K31" s="2">
        <v>3</v>
      </c>
      <c r="L31" s="11">
        <f t="shared" si="8"/>
        <v>280.41481481481486</v>
      </c>
      <c r="M31" s="11">
        <f>M30-L31</f>
        <v>1822.6962962962959</v>
      </c>
      <c r="N31" s="11">
        <f t="shared" si="10"/>
        <v>121.54074074074073</v>
      </c>
      <c r="O31" s="11">
        <f>DDB($M$28,$L$20,15,K31)</f>
        <v>280.41481481481486</v>
      </c>
      <c r="P31" s="11">
        <f t="shared" si="12"/>
        <v>1822.6962962962959</v>
      </c>
    </row>
    <row r="32" spans="4:17" x14ac:dyDescent="0.3">
      <c r="D32" s="2">
        <v>4</v>
      </c>
      <c r="E32" s="11">
        <f t="shared" si="4"/>
        <v>168</v>
      </c>
      <c r="F32" s="11">
        <f t="shared" si="5"/>
        <v>2128</v>
      </c>
      <c r="G32" s="2">
        <v>4</v>
      </c>
      <c r="H32" s="11">
        <f t="shared" si="6"/>
        <v>252</v>
      </c>
      <c r="I32" s="11">
        <f t="shared" si="7"/>
        <v>1666</v>
      </c>
      <c r="K32" s="2">
        <v>4</v>
      </c>
      <c r="L32" s="11">
        <f t="shared" si="8"/>
        <v>243.02617283950622</v>
      </c>
      <c r="M32" s="11">
        <f t="shared" si="9"/>
        <v>1579.6701234567897</v>
      </c>
      <c r="N32" s="11">
        <f t="shared" si="10"/>
        <v>102.84641975308639</v>
      </c>
      <c r="O32" s="11">
        <f t="shared" si="11"/>
        <v>243.02617283950622</v>
      </c>
      <c r="P32" s="11">
        <f t="shared" si="12"/>
        <v>1579.6701234567897</v>
      </c>
    </row>
    <row r="33" spans="4:16" x14ac:dyDescent="0.3">
      <c r="D33" s="2">
        <v>5</v>
      </c>
      <c r="E33" s="11">
        <f t="shared" si="4"/>
        <v>168</v>
      </c>
      <c r="F33" s="11">
        <f t="shared" si="5"/>
        <v>1960</v>
      </c>
      <c r="G33" s="2">
        <v>5</v>
      </c>
      <c r="H33" s="11">
        <f t="shared" si="6"/>
        <v>231</v>
      </c>
      <c r="I33" s="11">
        <f t="shared" si="7"/>
        <v>1435</v>
      </c>
      <c r="K33" s="2">
        <v>5</v>
      </c>
      <c r="L33" s="11">
        <f t="shared" si="8"/>
        <v>210.62268312757203</v>
      </c>
      <c r="M33" s="11">
        <f t="shared" si="9"/>
        <v>1369.0474403292178</v>
      </c>
      <c r="N33" s="11">
        <f>SLN(M32,$L$20,15)</f>
        <v>86.644674897119316</v>
      </c>
      <c r="O33" s="11">
        <f t="shared" si="11"/>
        <v>210.62268312757203</v>
      </c>
      <c r="P33" s="11">
        <f t="shared" si="12"/>
        <v>1369.0474403292178</v>
      </c>
    </row>
    <row r="34" spans="4:16" x14ac:dyDescent="0.3">
      <c r="D34" s="2">
        <v>6</v>
      </c>
      <c r="E34" s="11">
        <f t="shared" si="4"/>
        <v>168</v>
      </c>
      <c r="F34" s="11">
        <f t="shared" si="5"/>
        <v>1792</v>
      </c>
      <c r="G34" s="2">
        <v>6</v>
      </c>
      <c r="H34" s="11">
        <f t="shared" si="6"/>
        <v>210</v>
      </c>
      <c r="I34" s="11">
        <f t="shared" si="7"/>
        <v>1225</v>
      </c>
      <c r="K34" s="2">
        <v>6</v>
      </c>
      <c r="L34" s="11">
        <f t="shared" si="8"/>
        <v>182.53965871056243</v>
      </c>
      <c r="M34" s="11">
        <f t="shared" si="9"/>
        <v>1186.5077816186554</v>
      </c>
      <c r="N34" s="11">
        <f t="shared" si="10"/>
        <v>72.603162688614518</v>
      </c>
      <c r="O34" s="11">
        <f t="shared" si="11"/>
        <v>182.53965871056243</v>
      </c>
      <c r="P34" s="11">
        <f t="shared" si="12"/>
        <v>1186.5077816186554</v>
      </c>
    </row>
    <row r="35" spans="4:16" x14ac:dyDescent="0.3">
      <c r="D35" s="2">
        <v>7</v>
      </c>
      <c r="E35" s="11">
        <f t="shared" si="4"/>
        <v>168</v>
      </c>
      <c r="F35" s="11">
        <f t="shared" si="5"/>
        <v>1624</v>
      </c>
      <c r="G35" s="2">
        <v>7</v>
      </c>
      <c r="H35" s="11">
        <f t="shared" si="6"/>
        <v>189</v>
      </c>
      <c r="I35" s="11">
        <f t="shared" si="7"/>
        <v>1036</v>
      </c>
      <c r="K35" s="2">
        <v>7</v>
      </c>
      <c r="L35" s="11">
        <f t="shared" si="8"/>
        <v>158.20103754915411</v>
      </c>
      <c r="M35" s="11">
        <f t="shared" si="9"/>
        <v>1028.3067440695013</v>
      </c>
      <c r="N35" s="11">
        <f t="shared" si="10"/>
        <v>60.433852107910361</v>
      </c>
      <c r="O35" s="11">
        <f t="shared" si="11"/>
        <v>158.20103754915411</v>
      </c>
      <c r="P35" s="11">
        <f t="shared" si="12"/>
        <v>1028.3067440695013</v>
      </c>
    </row>
    <row r="36" spans="4:16" x14ac:dyDescent="0.3">
      <c r="D36" s="2">
        <v>8</v>
      </c>
      <c r="E36" s="11">
        <f t="shared" si="4"/>
        <v>168</v>
      </c>
      <c r="F36" s="11">
        <f t="shared" si="5"/>
        <v>1456</v>
      </c>
      <c r="G36" s="2">
        <v>8</v>
      </c>
      <c r="H36" s="11">
        <f t="shared" si="6"/>
        <v>168</v>
      </c>
      <c r="I36" s="11">
        <f t="shared" si="7"/>
        <v>868</v>
      </c>
      <c r="K36" s="2">
        <v>8</v>
      </c>
      <c r="L36" s="11">
        <f t="shared" si="8"/>
        <v>137.1075658759336</v>
      </c>
      <c r="M36" s="11">
        <f t="shared" si="9"/>
        <v>891.19917819356772</v>
      </c>
      <c r="N36" s="11">
        <f t="shared" si="10"/>
        <v>49.887116271300087</v>
      </c>
      <c r="O36" s="11">
        <f t="shared" si="11"/>
        <v>137.1075658759336</v>
      </c>
      <c r="P36" s="11">
        <f t="shared" si="12"/>
        <v>891.19917819356772</v>
      </c>
    </row>
    <row r="37" spans="4:16" x14ac:dyDescent="0.3">
      <c r="D37" s="2">
        <v>9</v>
      </c>
      <c r="E37" s="11">
        <f t="shared" si="4"/>
        <v>168</v>
      </c>
      <c r="F37" s="11">
        <f t="shared" si="5"/>
        <v>1288</v>
      </c>
      <c r="G37" s="2">
        <v>9</v>
      </c>
      <c r="H37" s="11">
        <f t="shared" si="6"/>
        <v>147</v>
      </c>
      <c r="I37" s="11">
        <f t="shared" si="7"/>
        <v>721</v>
      </c>
      <c r="K37" s="2">
        <v>9</v>
      </c>
      <c r="L37" s="11">
        <f>DDB($M$28,$L$20,15,K37)</f>
        <v>118.82655709247575</v>
      </c>
      <c r="M37" s="11">
        <f t="shared" si="9"/>
        <v>772.37262110109191</v>
      </c>
      <c r="N37" s="11">
        <f t="shared" si="10"/>
        <v>40.746611879571184</v>
      </c>
      <c r="O37" s="11">
        <f t="shared" si="11"/>
        <v>118.82655709247575</v>
      </c>
      <c r="P37" s="11">
        <f t="shared" si="12"/>
        <v>772.37262110109191</v>
      </c>
    </row>
    <row r="38" spans="4:16" x14ac:dyDescent="0.3">
      <c r="D38" s="2">
        <v>10</v>
      </c>
      <c r="E38" s="11">
        <f t="shared" si="4"/>
        <v>168</v>
      </c>
      <c r="F38" s="11">
        <f t="shared" si="5"/>
        <v>1120</v>
      </c>
      <c r="G38" s="2">
        <v>10</v>
      </c>
      <c r="H38" s="11">
        <f t="shared" si="6"/>
        <v>126</v>
      </c>
      <c r="I38" s="11">
        <f t="shared" si="7"/>
        <v>595</v>
      </c>
      <c r="K38" s="2">
        <v>10</v>
      </c>
      <c r="L38" s="11">
        <f t="shared" si="8"/>
        <v>102.98301614681233</v>
      </c>
      <c r="M38" s="11">
        <f>M37-L38</f>
        <v>669.38960495427955</v>
      </c>
      <c r="N38" s="11">
        <f t="shared" si="10"/>
        <v>32.824841406739459</v>
      </c>
      <c r="O38" s="11">
        <f t="shared" si="11"/>
        <v>102.98301614681233</v>
      </c>
      <c r="P38" s="11">
        <f t="shared" si="12"/>
        <v>669.38960495427955</v>
      </c>
    </row>
    <row r="39" spans="4:16" x14ac:dyDescent="0.3">
      <c r="D39" s="2">
        <v>11</v>
      </c>
      <c r="E39" s="11">
        <f t="shared" si="4"/>
        <v>168</v>
      </c>
      <c r="F39" s="11">
        <f t="shared" si="5"/>
        <v>952</v>
      </c>
      <c r="G39" s="2">
        <v>11</v>
      </c>
      <c r="H39" s="11">
        <f t="shared" si="6"/>
        <v>105</v>
      </c>
      <c r="I39" s="11">
        <f t="shared" si="7"/>
        <v>490</v>
      </c>
      <c r="K39" s="2">
        <v>11</v>
      </c>
      <c r="L39" s="11">
        <f t="shared" si="8"/>
        <v>89.251947327237346</v>
      </c>
      <c r="M39" s="11">
        <f t="shared" si="9"/>
        <v>580.13765762704224</v>
      </c>
      <c r="N39" s="11">
        <f t="shared" si="10"/>
        <v>25.95930699695197</v>
      </c>
      <c r="O39" s="11">
        <f t="shared" si="11"/>
        <v>89.251947327237346</v>
      </c>
      <c r="P39" s="11">
        <f t="shared" si="12"/>
        <v>580.13765762704224</v>
      </c>
    </row>
    <row r="40" spans="4:16" x14ac:dyDescent="0.3">
      <c r="D40" s="2">
        <v>12</v>
      </c>
      <c r="E40" s="11">
        <f t="shared" si="4"/>
        <v>168</v>
      </c>
      <c r="F40" s="11">
        <f t="shared" si="5"/>
        <v>784</v>
      </c>
      <c r="G40" s="2">
        <v>12</v>
      </c>
      <c r="H40" s="11">
        <f t="shared" si="6"/>
        <v>84</v>
      </c>
      <c r="I40" s="11">
        <f t="shared" si="7"/>
        <v>406</v>
      </c>
      <c r="K40" s="2">
        <v>12</v>
      </c>
      <c r="L40" s="11">
        <f t="shared" si="8"/>
        <v>77.351687683605704</v>
      </c>
      <c r="M40" s="11">
        <f t="shared" si="9"/>
        <v>502.78596994343656</v>
      </c>
      <c r="N40" s="11">
        <f t="shared" si="10"/>
        <v>20.009177175136148</v>
      </c>
      <c r="O40" s="11">
        <f t="shared" si="11"/>
        <v>77.351687683605704</v>
      </c>
      <c r="P40" s="11">
        <f t="shared" si="12"/>
        <v>502.78596994343656</v>
      </c>
    </row>
    <row r="41" spans="4:16" x14ac:dyDescent="0.3">
      <c r="D41" s="2">
        <v>13</v>
      </c>
      <c r="E41" s="11">
        <f t="shared" si="4"/>
        <v>168</v>
      </c>
      <c r="F41" s="11">
        <f t="shared" si="5"/>
        <v>616</v>
      </c>
      <c r="G41" s="2">
        <v>13</v>
      </c>
      <c r="H41" s="11">
        <f t="shared" si="6"/>
        <v>63</v>
      </c>
      <c r="I41" s="11">
        <f t="shared" si="7"/>
        <v>343</v>
      </c>
      <c r="K41" s="2">
        <v>13</v>
      </c>
      <c r="L41" s="11">
        <f t="shared" si="8"/>
        <v>67.038129325791616</v>
      </c>
      <c r="M41" s="11">
        <f t="shared" si="9"/>
        <v>435.74784061764495</v>
      </c>
      <c r="N41" s="11">
        <f t="shared" si="10"/>
        <v>14.852397996229104</v>
      </c>
      <c r="O41" s="11">
        <f t="shared" si="11"/>
        <v>67.038129325791616</v>
      </c>
      <c r="P41" s="11">
        <v>428.524</v>
      </c>
    </row>
    <row r="42" spans="4:16" x14ac:dyDescent="0.3">
      <c r="D42" s="2">
        <v>14</v>
      </c>
      <c r="E42" s="11">
        <f t="shared" si="4"/>
        <v>168</v>
      </c>
      <c r="F42" s="11">
        <f t="shared" si="5"/>
        <v>448</v>
      </c>
      <c r="G42" s="2">
        <v>14</v>
      </c>
      <c r="H42" s="11">
        <f t="shared" si="6"/>
        <v>42</v>
      </c>
      <c r="I42" s="11">
        <f t="shared" si="7"/>
        <v>301</v>
      </c>
      <c r="K42" s="2">
        <v>14</v>
      </c>
      <c r="L42" s="11">
        <f t="shared" si="8"/>
        <v>58.099712082352738</v>
      </c>
      <c r="M42" s="11">
        <f t="shared" si="9"/>
        <v>377.64812853529224</v>
      </c>
      <c r="N42" s="11">
        <f t="shared" si="10"/>
        <v>10.383189374509664</v>
      </c>
      <c r="O42" s="11">
        <f t="shared" si="11"/>
        <v>58.099712082352738</v>
      </c>
      <c r="P42" s="11">
        <v>354.262</v>
      </c>
    </row>
    <row r="43" spans="4:16" x14ac:dyDescent="0.3">
      <c r="D43" s="2">
        <v>15</v>
      </c>
      <c r="E43" s="11">
        <f t="shared" si="4"/>
        <v>168</v>
      </c>
      <c r="F43" s="11">
        <f t="shared" si="5"/>
        <v>280</v>
      </c>
      <c r="G43" s="2">
        <v>15</v>
      </c>
      <c r="H43" s="11">
        <f t="shared" si="6"/>
        <v>21</v>
      </c>
      <c r="I43" s="11">
        <f t="shared" si="7"/>
        <v>280</v>
      </c>
      <c r="K43" s="2">
        <v>15</v>
      </c>
      <c r="L43" s="11">
        <f t="shared" si="8"/>
        <v>50.353083804705705</v>
      </c>
      <c r="M43" s="11">
        <f t="shared" si="9"/>
        <v>327.29504473058654</v>
      </c>
      <c r="N43" s="11">
        <f t="shared" si="10"/>
        <v>6.5098752356861498</v>
      </c>
      <c r="O43" s="11">
        <f t="shared" si="11"/>
        <v>50.353083804705705</v>
      </c>
      <c r="P43" s="11">
        <v>280</v>
      </c>
    </row>
  </sheetData>
  <mergeCells count="6">
    <mergeCell ref="F2:K2"/>
    <mergeCell ref="E3:G3"/>
    <mergeCell ref="H3:J3"/>
    <mergeCell ref="D26:F26"/>
    <mergeCell ref="G26:I26"/>
    <mergeCell ref="J23:J24"/>
  </mergeCells>
  <pageMargins left="0.7" right="0.7" top="0.75" bottom="0.75" header="0.3" footer="0.3"/>
  <pageSetup orientation="portrait" r:id="rId1"/>
  <ignoredErrors>
    <ignoredError sqref="J9:J2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6"/>
  <sheetViews>
    <sheetView topLeftCell="F243" zoomScale="40" zoomScaleNormal="40" workbookViewId="0">
      <selection activeCell="K188" sqref="K188"/>
    </sheetView>
  </sheetViews>
  <sheetFormatPr defaultRowHeight="14.4" x14ac:dyDescent="0.3"/>
  <cols>
    <col min="1" max="1" width="45.44140625" style="2" customWidth="1"/>
    <col min="2" max="2" width="37" style="2" customWidth="1"/>
    <col min="3" max="3" width="8.88671875" style="2"/>
    <col min="4" max="4" width="23.109375" style="2" customWidth="1"/>
    <col min="5" max="5" width="32" style="2" customWidth="1"/>
    <col min="6" max="6" width="29.5546875" style="2" customWidth="1"/>
    <col min="7" max="7" width="23.109375" style="2" customWidth="1"/>
    <col min="8" max="8" width="42.109375" style="24" customWidth="1"/>
    <col min="9" max="9" width="23.109375" style="2" customWidth="1"/>
    <col min="10" max="10" width="52.77734375" style="2" customWidth="1"/>
    <col min="11" max="11" width="47.21875" style="2" customWidth="1"/>
    <col min="12" max="12" width="37.21875" style="2" customWidth="1"/>
    <col min="13" max="13" width="28.88671875" style="2" customWidth="1"/>
    <col min="14" max="14" width="24.88671875" style="2" customWidth="1"/>
    <col min="15" max="15" width="27.109375" style="2" customWidth="1"/>
    <col min="16" max="16" width="31.88671875" style="2" customWidth="1"/>
    <col min="17" max="17" width="23.109375" style="2" customWidth="1"/>
    <col min="18" max="18" width="22.44140625" style="2" customWidth="1"/>
    <col min="19" max="19" width="28.6640625" style="2" customWidth="1"/>
    <col min="20" max="20" width="20.21875" style="2" customWidth="1"/>
    <col min="21" max="16384" width="8.88671875" style="2"/>
  </cols>
  <sheetData>
    <row r="1" spans="1:12" x14ac:dyDescent="0.3">
      <c r="A1" s="29" t="s">
        <v>10</v>
      </c>
      <c r="B1" s="29" t="s">
        <v>11</v>
      </c>
      <c r="D1" s="29"/>
      <c r="E1" s="29"/>
      <c r="F1" s="29"/>
      <c r="G1" s="29"/>
      <c r="H1" s="38"/>
      <c r="I1" s="29"/>
      <c r="J1" s="29"/>
      <c r="K1" s="29"/>
      <c r="L1" s="29"/>
    </row>
    <row r="2" spans="1:12" x14ac:dyDescent="0.3">
      <c r="A2" s="2" t="s">
        <v>7</v>
      </c>
      <c r="B2" s="24">
        <f>(9+5+3+1+4+2+4)*100</f>
        <v>2800</v>
      </c>
      <c r="E2" s="39"/>
      <c r="F2" s="56" t="s">
        <v>28</v>
      </c>
      <c r="G2" s="56"/>
      <c r="H2" s="56"/>
      <c r="I2" s="56"/>
      <c r="J2" s="56"/>
      <c r="K2" s="56"/>
    </row>
    <row r="3" spans="1:12" x14ac:dyDescent="0.3">
      <c r="A3" s="2" t="s">
        <v>8</v>
      </c>
      <c r="B3" s="24">
        <f>(3+1+4+2+4)*75</f>
        <v>1050</v>
      </c>
      <c r="E3" s="50" t="s">
        <v>26</v>
      </c>
      <c r="F3" s="50"/>
      <c r="G3" s="50"/>
      <c r="H3" s="57" t="s">
        <v>27</v>
      </c>
      <c r="I3" s="57"/>
      <c r="J3" s="57"/>
      <c r="K3" s="30" t="s">
        <v>29</v>
      </c>
      <c r="L3" s="31" t="s">
        <v>30</v>
      </c>
    </row>
    <row r="4" spans="1:12" x14ac:dyDescent="0.3">
      <c r="A4" s="2" t="s">
        <v>9</v>
      </c>
      <c r="B4" s="24">
        <f>(4+2+4)*50</f>
        <v>500</v>
      </c>
      <c r="D4" s="2" t="s">
        <v>19</v>
      </c>
      <c r="E4" s="2" t="s">
        <v>20</v>
      </c>
      <c r="F4" s="2" t="s">
        <v>21</v>
      </c>
      <c r="G4" s="2" t="s">
        <v>22</v>
      </c>
      <c r="H4" s="24" t="s">
        <v>23</v>
      </c>
      <c r="I4" s="2" t="s">
        <v>24</v>
      </c>
      <c r="J4" s="2" t="s">
        <v>25</v>
      </c>
    </row>
    <row r="5" spans="1:12" x14ac:dyDescent="0.3">
      <c r="D5" s="23">
        <v>0</v>
      </c>
      <c r="E5" s="32">
        <f>$B$3/4</f>
        <v>262.5</v>
      </c>
      <c r="F5" s="32">
        <f>$B$3/2</f>
        <v>525</v>
      </c>
      <c r="G5" s="32">
        <f>$B$2</f>
        <v>2800</v>
      </c>
      <c r="I5" s="24"/>
      <c r="J5" s="24"/>
      <c r="K5" s="24"/>
      <c r="L5" s="24"/>
    </row>
    <row r="6" spans="1:12" x14ac:dyDescent="0.3">
      <c r="D6" s="23">
        <v>1</v>
      </c>
      <c r="E6" s="24"/>
      <c r="F6" s="24"/>
      <c r="G6" s="24"/>
      <c r="H6" s="32">
        <f>3*B4</f>
        <v>1500</v>
      </c>
      <c r="I6" s="32">
        <f>2*B4</f>
        <v>1000</v>
      </c>
      <c r="J6" s="32">
        <f>$B$4</f>
        <v>500</v>
      </c>
      <c r="K6" s="24">
        <v>0</v>
      </c>
      <c r="L6" s="24"/>
    </row>
    <row r="7" spans="1:12" x14ac:dyDescent="0.3">
      <c r="A7" s="40"/>
      <c r="B7" s="40"/>
      <c r="D7" s="23">
        <v>2</v>
      </c>
      <c r="E7" s="24"/>
      <c r="F7" s="24"/>
      <c r="G7" s="24"/>
      <c r="H7" s="32">
        <f>15%*H6+H6</f>
        <v>1725</v>
      </c>
      <c r="I7" s="32">
        <f>10%*I6+I6</f>
        <v>1100</v>
      </c>
      <c r="J7" s="32">
        <f t="shared" ref="J7:J20" si="0">$B$4</f>
        <v>500</v>
      </c>
      <c r="K7" s="24">
        <v>0</v>
      </c>
      <c r="L7" s="24"/>
    </row>
    <row r="8" spans="1:12" x14ac:dyDescent="0.3">
      <c r="A8" s="20" t="s">
        <v>12</v>
      </c>
      <c r="B8" s="20">
        <v>15</v>
      </c>
      <c r="D8" s="23">
        <v>3</v>
      </c>
      <c r="E8" s="24"/>
      <c r="F8" s="24"/>
      <c r="G8" s="24"/>
      <c r="H8" s="32">
        <f t="shared" ref="H8:H20" si="1">15%*H7+H7</f>
        <v>1983.75</v>
      </c>
      <c r="I8" s="32">
        <f t="shared" ref="I8:I20" si="2">10%*I7+I7</f>
        <v>1210</v>
      </c>
      <c r="J8" s="32">
        <f t="shared" si="0"/>
        <v>500</v>
      </c>
      <c r="K8" s="24">
        <f>4*B3</f>
        <v>4200</v>
      </c>
      <c r="L8" s="24"/>
    </row>
    <row r="9" spans="1:12" x14ac:dyDescent="0.3">
      <c r="A9" s="20" t="s">
        <v>13</v>
      </c>
      <c r="B9" s="7">
        <v>0.25</v>
      </c>
      <c r="D9" s="23">
        <v>4</v>
      </c>
      <c r="E9" s="24"/>
      <c r="F9" s="24"/>
      <c r="G9" s="24"/>
      <c r="H9" s="32">
        <f t="shared" si="1"/>
        <v>2281.3125</v>
      </c>
      <c r="I9" s="32">
        <f t="shared" si="2"/>
        <v>1331</v>
      </c>
      <c r="J9" s="32">
        <f t="shared" si="0"/>
        <v>500</v>
      </c>
      <c r="K9" s="24">
        <f>10%*K8+K8</f>
        <v>4620</v>
      </c>
      <c r="L9" s="24"/>
    </row>
    <row r="10" spans="1:12" x14ac:dyDescent="0.3">
      <c r="A10" s="10" t="s">
        <v>14</v>
      </c>
      <c r="B10" s="7">
        <v>0.12</v>
      </c>
      <c r="D10" s="23">
        <v>5</v>
      </c>
      <c r="E10" s="24"/>
      <c r="F10" s="24"/>
      <c r="G10" s="24"/>
      <c r="H10" s="32">
        <f t="shared" si="1"/>
        <v>2623.5093750000001</v>
      </c>
      <c r="I10" s="32">
        <f t="shared" si="2"/>
        <v>1464.1</v>
      </c>
      <c r="J10" s="32">
        <f t="shared" si="0"/>
        <v>500</v>
      </c>
      <c r="K10" s="24">
        <f t="shared" ref="K10:K20" si="3">10%*K9+K9</f>
        <v>5082</v>
      </c>
      <c r="L10" s="24"/>
    </row>
    <row r="11" spans="1:12" x14ac:dyDescent="0.3">
      <c r="A11" s="20" t="s">
        <v>15</v>
      </c>
      <c r="B11" s="7">
        <v>0.15</v>
      </c>
      <c r="D11" s="23">
        <v>6</v>
      </c>
      <c r="E11" s="24"/>
      <c r="F11" s="24"/>
      <c r="G11" s="24"/>
      <c r="H11" s="32">
        <f t="shared" si="1"/>
        <v>3017.0357812500001</v>
      </c>
      <c r="I11" s="32">
        <f t="shared" si="2"/>
        <v>1610.51</v>
      </c>
      <c r="J11" s="32">
        <f t="shared" si="0"/>
        <v>500</v>
      </c>
      <c r="K11" s="24">
        <f t="shared" si="3"/>
        <v>5590.2</v>
      </c>
      <c r="L11" s="24"/>
    </row>
    <row r="12" spans="1:12" x14ac:dyDescent="0.3">
      <c r="A12" s="20" t="s">
        <v>16</v>
      </c>
      <c r="B12" s="7">
        <v>0.1</v>
      </c>
      <c r="D12" s="23">
        <v>7</v>
      </c>
      <c r="E12" s="24"/>
      <c r="F12" s="24"/>
      <c r="G12" s="24"/>
      <c r="H12" s="32">
        <f t="shared" si="1"/>
        <v>3469.5911484375001</v>
      </c>
      <c r="I12" s="32">
        <f t="shared" si="2"/>
        <v>1771.5609999999999</v>
      </c>
      <c r="J12" s="32">
        <f t="shared" si="0"/>
        <v>500</v>
      </c>
      <c r="K12" s="24">
        <f t="shared" si="3"/>
        <v>6149.2199999999993</v>
      </c>
      <c r="L12" s="24"/>
    </row>
    <row r="13" spans="1:12" ht="15.6" x14ac:dyDescent="0.3">
      <c r="A13" s="20" t="s">
        <v>17</v>
      </c>
      <c r="B13" s="8">
        <f>B11+B10+B11*B10</f>
        <v>0.28800000000000003</v>
      </c>
      <c r="D13" s="23">
        <v>8</v>
      </c>
      <c r="E13" s="24"/>
      <c r="F13" s="24"/>
      <c r="G13" s="24"/>
      <c r="H13" s="32">
        <f t="shared" si="1"/>
        <v>3990.0298207031251</v>
      </c>
      <c r="I13" s="32">
        <f t="shared" si="2"/>
        <v>1948.7170999999998</v>
      </c>
      <c r="J13" s="32">
        <f t="shared" si="0"/>
        <v>500</v>
      </c>
      <c r="K13" s="24">
        <f t="shared" si="3"/>
        <v>6764.1419999999998</v>
      </c>
      <c r="L13" s="24"/>
    </row>
    <row r="14" spans="1:12" ht="15.6" x14ac:dyDescent="0.3">
      <c r="A14" s="20" t="s">
        <v>18</v>
      </c>
      <c r="B14" s="8">
        <f>B12+B10+B12*B10</f>
        <v>0.23200000000000001</v>
      </c>
      <c r="D14" s="23">
        <v>9</v>
      </c>
      <c r="E14" s="24"/>
      <c r="F14" s="24"/>
      <c r="G14" s="24"/>
      <c r="H14" s="32">
        <f t="shared" si="1"/>
        <v>4588.5342938085942</v>
      </c>
      <c r="I14" s="32">
        <f t="shared" si="2"/>
        <v>2143.5888099999997</v>
      </c>
      <c r="J14" s="32">
        <f t="shared" si="0"/>
        <v>500</v>
      </c>
      <c r="K14" s="24">
        <f t="shared" si="3"/>
        <v>7440.5562</v>
      </c>
      <c r="L14" s="24"/>
    </row>
    <row r="15" spans="1:12" x14ac:dyDescent="0.3">
      <c r="D15" s="23">
        <v>10</v>
      </c>
      <c r="E15" s="24"/>
      <c r="F15" s="24"/>
      <c r="G15" s="24"/>
      <c r="H15" s="32">
        <f t="shared" si="1"/>
        <v>5276.8144378798834</v>
      </c>
      <c r="I15" s="32">
        <f t="shared" si="2"/>
        <v>2357.9476909999998</v>
      </c>
      <c r="J15" s="32">
        <f t="shared" si="0"/>
        <v>500</v>
      </c>
      <c r="K15" s="24">
        <f t="shared" si="3"/>
        <v>8184.6118200000001</v>
      </c>
      <c r="L15" s="24"/>
    </row>
    <row r="16" spans="1:12" x14ac:dyDescent="0.3">
      <c r="D16" s="23">
        <v>11</v>
      </c>
      <c r="E16" s="24"/>
      <c r="F16" s="24"/>
      <c r="G16" s="24"/>
      <c r="H16" s="32">
        <f t="shared" si="1"/>
        <v>6068.3366035618656</v>
      </c>
      <c r="I16" s="32">
        <f t="shared" si="2"/>
        <v>2593.7424600999998</v>
      </c>
      <c r="J16" s="32">
        <f t="shared" si="0"/>
        <v>500</v>
      </c>
      <c r="K16" s="24">
        <f t="shared" si="3"/>
        <v>9003.073002000001</v>
      </c>
      <c r="L16" s="24"/>
    </row>
    <row r="17" spans="4:19" x14ac:dyDescent="0.3">
      <c r="D17" s="23">
        <v>12</v>
      </c>
      <c r="E17" s="24"/>
      <c r="F17" s="24"/>
      <c r="G17" s="24"/>
      <c r="H17" s="32">
        <f t="shared" si="1"/>
        <v>6978.5870940961449</v>
      </c>
      <c r="I17" s="32">
        <f t="shared" si="2"/>
        <v>2853.1167061099995</v>
      </c>
      <c r="J17" s="32">
        <f t="shared" si="0"/>
        <v>500</v>
      </c>
      <c r="K17" s="24">
        <f t="shared" si="3"/>
        <v>9903.3803022000011</v>
      </c>
      <c r="L17" s="24"/>
    </row>
    <row r="18" spans="4:19" x14ac:dyDescent="0.3">
      <c r="D18" s="23">
        <v>13</v>
      </c>
      <c r="E18" s="24"/>
      <c r="F18" s="24"/>
      <c r="G18" s="24"/>
      <c r="H18" s="32">
        <f t="shared" si="1"/>
        <v>8025.375158210567</v>
      </c>
      <c r="I18" s="32">
        <f t="shared" si="2"/>
        <v>3138.4283767209995</v>
      </c>
      <c r="J18" s="32">
        <f t="shared" si="0"/>
        <v>500</v>
      </c>
      <c r="K18" s="24">
        <f t="shared" si="3"/>
        <v>10893.718332420001</v>
      </c>
      <c r="L18" s="24"/>
    </row>
    <row r="19" spans="4:19" x14ac:dyDescent="0.3">
      <c r="D19" s="23">
        <v>14</v>
      </c>
      <c r="E19" s="24"/>
      <c r="F19" s="24"/>
      <c r="G19" s="24"/>
      <c r="H19" s="32">
        <f t="shared" si="1"/>
        <v>9229.1814319421519</v>
      </c>
      <c r="I19" s="32">
        <f t="shared" si="2"/>
        <v>3452.2712143930994</v>
      </c>
      <c r="J19" s="32">
        <f t="shared" si="0"/>
        <v>500</v>
      </c>
      <c r="K19" s="24">
        <f t="shared" si="3"/>
        <v>11983.090165662001</v>
      </c>
      <c r="L19" s="24"/>
    </row>
    <row r="20" spans="4:19" x14ac:dyDescent="0.3">
      <c r="D20" s="23">
        <v>15</v>
      </c>
      <c r="E20" s="24"/>
      <c r="F20" s="24"/>
      <c r="G20" s="24"/>
      <c r="H20" s="32">
        <f t="shared" si="1"/>
        <v>10613.558646733474</v>
      </c>
      <c r="I20" s="32">
        <f t="shared" si="2"/>
        <v>3797.4983358324093</v>
      </c>
      <c r="J20" s="32">
        <f t="shared" si="0"/>
        <v>500</v>
      </c>
      <c r="K20" s="24">
        <f t="shared" si="3"/>
        <v>13181.399182228201</v>
      </c>
      <c r="L20" s="24">
        <f>10%*G5</f>
        <v>280</v>
      </c>
    </row>
    <row r="21" spans="4:19" x14ac:dyDescent="0.3">
      <c r="I21" s="24"/>
      <c r="J21" s="24"/>
      <c r="K21" s="24"/>
    </row>
    <row r="23" spans="4:19" x14ac:dyDescent="0.3">
      <c r="D23" s="29"/>
      <c r="E23" s="29"/>
      <c r="F23" s="60" t="s">
        <v>38</v>
      </c>
      <c r="G23" s="60"/>
      <c r="H23" s="60"/>
      <c r="I23" s="60"/>
      <c r="J23" s="60"/>
      <c r="K23" s="60"/>
      <c r="L23" s="29"/>
      <c r="M23" s="29"/>
      <c r="N23" s="29"/>
      <c r="O23" s="29"/>
      <c r="P23" s="29"/>
      <c r="Q23" s="29"/>
      <c r="R23" s="29"/>
      <c r="S23" s="29"/>
    </row>
    <row r="24" spans="4:19" ht="28.8" customHeight="1" x14ac:dyDescent="0.3">
      <c r="D24" s="29"/>
      <c r="E24" s="29"/>
      <c r="F24" s="60"/>
      <c r="G24" s="60"/>
      <c r="H24" s="60"/>
      <c r="I24" s="60"/>
      <c r="J24" s="60"/>
      <c r="K24" s="60"/>
      <c r="L24" s="29"/>
      <c r="M24" s="29"/>
      <c r="N24" s="29"/>
      <c r="O24" s="29"/>
      <c r="P24" s="29"/>
      <c r="Q24" s="29"/>
      <c r="R24" s="29"/>
      <c r="S24" s="29"/>
    </row>
    <row r="25" spans="4:19" x14ac:dyDescent="0.3">
      <c r="K25" s="2" t="s">
        <v>41</v>
      </c>
      <c r="L25" s="2" t="s">
        <v>42</v>
      </c>
      <c r="M25" s="2" t="s">
        <v>43</v>
      </c>
      <c r="N25" s="2" t="s">
        <v>44</v>
      </c>
      <c r="O25" s="2" t="s">
        <v>45</v>
      </c>
    </row>
    <row r="26" spans="4:19" ht="15.6" x14ac:dyDescent="0.3">
      <c r="D26" s="2" t="s">
        <v>19</v>
      </c>
      <c r="E26" s="2" t="s">
        <v>20</v>
      </c>
      <c r="F26" s="2" t="s">
        <v>21</v>
      </c>
      <c r="G26" s="2" t="s">
        <v>22</v>
      </c>
      <c r="H26" s="24" t="s">
        <v>23</v>
      </c>
      <c r="I26" s="2" t="s">
        <v>24</v>
      </c>
      <c r="J26" s="2" t="s">
        <v>25</v>
      </c>
      <c r="K26" s="40"/>
      <c r="L26" s="40"/>
      <c r="M26" s="40"/>
      <c r="N26" s="40"/>
      <c r="O26" s="40"/>
      <c r="Q26" s="21"/>
    </row>
    <row r="27" spans="4:19" x14ac:dyDescent="0.3">
      <c r="D27" s="23">
        <v>0</v>
      </c>
      <c r="E27" s="24">
        <f>-$E$5</f>
        <v>-262.5</v>
      </c>
      <c r="F27" s="24">
        <f>-$F$5</f>
        <v>-525</v>
      </c>
      <c r="G27" s="24">
        <f>-$G$5</f>
        <v>-2800</v>
      </c>
      <c r="I27" s="24"/>
      <c r="J27" s="24"/>
      <c r="K27" s="24"/>
      <c r="L27" s="24"/>
      <c r="N27" s="24">
        <f>SUM(E27:G27)</f>
        <v>-3587.5</v>
      </c>
      <c r="O27" s="24">
        <f>-PV($B$10,D27,,N27)</f>
        <v>-3587.5</v>
      </c>
    </row>
    <row r="28" spans="4:19" x14ac:dyDescent="0.3">
      <c r="D28" s="23">
        <v>1</v>
      </c>
      <c r="E28" s="24"/>
      <c r="F28" s="24"/>
      <c r="G28" s="24"/>
      <c r="H28" s="24">
        <f>-3*B4</f>
        <v>-1500</v>
      </c>
      <c r="I28" s="24">
        <f>-2*B4</f>
        <v>-1000</v>
      </c>
      <c r="J28" s="24">
        <f>-B4</f>
        <v>-500</v>
      </c>
      <c r="K28" s="24">
        <v>0</v>
      </c>
      <c r="L28" s="24"/>
      <c r="M28" s="25">
        <v>0.15</v>
      </c>
      <c r="N28" s="24">
        <f>SUM(H28:L28)</f>
        <v>-3000</v>
      </c>
      <c r="O28" s="24">
        <f>-PV($B$13,1,,N28)</f>
        <v>-2329.1925465838508</v>
      </c>
    </row>
    <row r="29" spans="4:19" x14ac:dyDescent="0.3">
      <c r="D29" s="23">
        <v>2</v>
      </c>
      <c r="E29" s="24"/>
      <c r="F29" s="24"/>
      <c r="G29" s="24"/>
      <c r="H29" s="24">
        <f>(15%*H28+H28)*15%+(15%*H28+H28)</f>
        <v>-1983.75</v>
      </c>
      <c r="I29" s="24">
        <f>(10%*I28+I28)*15%+(10%*I28+I28)</f>
        <v>-1265</v>
      </c>
      <c r="J29" s="24">
        <f>J28*15%+J28</f>
        <v>-575</v>
      </c>
      <c r="K29" s="24">
        <v>0</v>
      </c>
      <c r="L29" s="24"/>
      <c r="M29" s="25">
        <v>0.15</v>
      </c>
      <c r="N29" s="24">
        <f t="shared" ref="N29:N40" si="4">SUM(H29:L29)</f>
        <v>-3823.75</v>
      </c>
      <c r="O29" s="24">
        <f>-PV($B$13,2,,N29)</f>
        <v>-2304.9301242236024</v>
      </c>
    </row>
    <row r="30" spans="4:19" x14ac:dyDescent="0.3">
      <c r="D30" s="23">
        <v>3</v>
      </c>
      <c r="E30" s="24"/>
      <c r="F30" s="24"/>
      <c r="G30" s="24"/>
      <c r="H30" s="24">
        <f>(15%*H29+H29)*15%+(15%*H29+H29)</f>
        <v>-2623.5093750000001</v>
      </c>
      <c r="I30" s="24">
        <f>(10%*I29+I29)*15%+(10%*I29+I29)</f>
        <v>-1600.2249999999999</v>
      </c>
      <c r="J30" s="24">
        <f>J29*15%+J29</f>
        <v>-661.25</v>
      </c>
      <c r="K30" s="24">
        <f>4*B3</f>
        <v>4200</v>
      </c>
      <c r="L30" s="24"/>
      <c r="M30" s="25">
        <v>0.15</v>
      </c>
      <c r="N30" s="24">
        <f t="shared" si="4"/>
        <v>-684.984375</v>
      </c>
      <c r="O30" s="24">
        <f>-PV($B$13,3,,N30)</f>
        <v>-320.57752818990014</v>
      </c>
    </row>
    <row r="31" spans="4:19" x14ac:dyDescent="0.3">
      <c r="D31" s="23">
        <v>4</v>
      </c>
      <c r="E31" s="24"/>
      <c r="F31" s="24"/>
      <c r="G31" s="24"/>
      <c r="H31" s="24">
        <f>(15%*H30+H30)*15%+(15%*H30+H30)</f>
        <v>-3469.5911484375001</v>
      </c>
      <c r="I31" s="24">
        <f>(10%*I30+I30)*15%+(10%*I30+I30)</f>
        <v>-2024.284625</v>
      </c>
      <c r="J31" s="24">
        <f>J30*15%+J30</f>
        <v>-760.4375</v>
      </c>
      <c r="K31" s="24">
        <f>(10%*K30+K30)*15%+(10%*K30+K30)</f>
        <v>5313</v>
      </c>
      <c r="L31" s="24"/>
      <c r="M31" s="25">
        <v>0.15</v>
      </c>
      <c r="N31" s="24">
        <f>SUM(H31:L31)</f>
        <v>-941.31327343750036</v>
      </c>
      <c r="O31" s="24">
        <f>-PV($B$13,4,,N31)</f>
        <v>-342.0351429344301</v>
      </c>
    </row>
    <row r="32" spans="4:19" x14ac:dyDescent="0.3">
      <c r="D32" s="23">
        <v>5</v>
      </c>
      <c r="E32" s="24"/>
      <c r="F32" s="24"/>
      <c r="G32" s="24"/>
      <c r="H32" s="24">
        <f>(15%*H31+H31)*15%+(15%*H31+H31)</f>
        <v>-4588.5342938085942</v>
      </c>
      <c r="I32" s="24">
        <f>(10%*I31+I31)*15%+(10%*I31+I31)</f>
        <v>-2560.7200506250001</v>
      </c>
      <c r="J32" s="24">
        <f>J31*15%+J31</f>
        <v>-874.50312499999995</v>
      </c>
      <c r="K32" s="24">
        <f>(10%*K31+K31)*15%+(10%*K31+K31)</f>
        <v>6720.9449999999997</v>
      </c>
      <c r="L32" s="24"/>
      <c r="M32" s="25">
        <v>0.15</v>
      </c>
      <c r="N32" s="24">
        <f>SUM(H32:L32)</f>
        <v>-1302.8124694335947</v>
      </c>
      <c r="O32" s="24">
        <f>-PV($B$13,5,,N32)</f>
        <v>-367.53829091914503</v>
      </c>
    </row>
    <row r="33" spans="4:19" x14ac:dyDescent="0.3">
      <c r="D33" s="23">
        <v>6</v>
      </c>
      <c r="E33" s="24"/>
      <c r="F33" s="24"/>
      <c r="G33" s="24"/>
      <c r="H33" s="24">
        <f>(15%*H32+H32)*10%+(15%*H32+H32)</f>
        <v>-5804.4958816678718</v>
      </c>
      <c r="I33" s="24">
        <f>(10%*I32+I32)*10%+(10%*I32+I32)</f>
        <v>-3098.4712612562503</v>
      </c>
      <c r="J33" s="24">
        <f>J32*10%+J32</f>
        <v>-961.95343749999995</v>
      </c>
      <c r="K33" s="24">
        <f>(10%*K32+K32)*10%+(10%*K32+K32)</f>
        <v>8132.3434500000003</v>
      </c>
      <c r="L33" s="24"/>
      <c r="M33" s="25">
        <v>0.1</v>
      </c>
      <c r="N33" s="24">
        <f t="shared" si="4"/>
        <v>-1732.5771304241225</v>
      </c>
      <c r="O33" s="24">
        <f>-PV($B$13,5,,-PV($B$14,1,,N33))</f>
        <v>-396.73686258308572</v>
      </c>
    </row>
    <row r="34" spans="4:19" x14ac:dyDescent="0.3">
      <c r="D34" s="23">
        <v>7</v>
      </c>
      <c r="E34" s="24"/>
      <c r="F34" s="24"/>
      <c r="G34" s="24"/>
      <c r="H34" s="24">
        <f t="shared" ref="H34:H42" si="5">(15%*H33+H33)*10%+(15%*H33+H33)</f>
        <v>-7342.6872903098583</v>
      </c>
      <c r="I34" s="24">
        <f t="shared" ref="I34:I41" si="6">(10%*I33+I33)*10%+(10%*I33+I33)</f>
        <v>-3749.1502261200631</v>
      </c>
      <c r="J34" s="24">
        <f t="shared" ref="J34:J41" si="7">J33*10%+J33</f>
        <v>-1058.14878125</v>
      </c>
      <c r="K34" s="24">
        <f t="shared" ref="K34:K42" si="8">(10%*K33+K33)*10%+(10%*K33+K33)</f>
        <v>9840.1355745000019</v>
      </c>
      <c r="L34" s="24"/>
      <c r="M34" s="25">
        <v>0.1</v>
      </c>
      <c r="N34" s="24">
        <f t="shared" si="4"/>
        <v>-2309.8507231799194</v>
      </c>
      <c r="O34" s="24">
        <f>-PV($B$13,5,,-PV($B$14,2,,N34))</f>
        <v>-429.32203892319569</v>
      </c>
    </row>
    <row r="35" spans="4:19" x14ac:dyDescent="0.3">
      <c r="D35" s="23">
        <v>8</v>
      </c>
      <c r="E35" s="24"/>
      <c r="F35" s="24"/>
      <c r="G35" s="24"/>
      <c r="H35" s="24">
        <f t="shared" si="5"/>
        <v>-9288.49942224197</v>
      </c>
      <c r="I35" s="24">
        <f t="shared" si="6"/>
        <v>-4536.4717736052762</v>
      </c>
      <c r="J35" s="24">
        <f t="shared" si="7"/>
        <v>-1163.9636593749999</v>
      </c>
      <c r="K35" s="24">
        <f t="shared" si="8"/>
        <v>11906.564045145002</v>
      </c>
      <c r="L35" s="24"/>
      <c r="M35" s="25">
        <v>0.1</v>
      </c>
      <c r="N35" s="24">
        <f t="shared" si="4"/>
        <v>-3082.3708100772456</v>
      </c>
      <c r="O35" s="24">
        <f>-PV($B$13,5,,-PV($B$14,3,,N35))</f>
        <v>-465.02194110852076</v>
      </c>
    </row>
    <row r="36" spans="4:19" x14ac:dyDescent="0.3">
      <c r="D36" s="23">
        <v>9</v>
      </c>
      <c r="E36" s="24"/>
      <c r="F36" s="24"/>
      <c r="G36" s="24"/>
      <c r="H36" s="24">
        <f t="shared" si="5"/>
        <v>-11749.951769136092</v>
      </c>
      <c r="I36" s="24">
        <f t="shared" si="6"/>
        <v>-5489.1308460623841</v>
      </c>
      <c r="J36" s="24">
        <f t="shared" si="7"/>
        <v>-1280.3600253124998</v>
      </c>
      <c r="K36" s="24">
        <f t="shared" si="8"/>
        <v>14406.942494625453</v>
      </c>
      <c r="L36" s="24"/>
      <c r="M36" s="25">
        <v>0.1</v>
      </c>
      <c r="N36" s="24">
        <f t="shared" si="4"/>
        <v>-4112.500145885524</v>
      </c>
      <c r="O36" s="24">
        <f>-PV($B$13,5,,-PV($B$14,4,,N36))</f>
        <v>-503.59774867180596</v>
      </c>
    </row>
    <row r="37" spans="4:19" x14ac:dyDescent="0.3">
      <c r="D37" s="23">
        <v>10</v>
      </c>
      <c r="E37" s="24"/>
      <c r="F37" s="24"/>
      <c r="G37" s="24"/>
      <c r="H37" s="24">
        <f t="shared" si="5"/>
        <v>-14863.688987957157</v>
      </c>
      <c r="I37" s="24">
        <f t="shared" si="6"/>
        <v>-6641.848323735484</v>
      </c>
      <c r="J37" s="24">
        <f t="shared" si="7"/>
        <v>-1408.3960278437498</v>
      </c>
      <c r="K37" s="24">
        <f t="shared" si="8"/>
        <v>17432.4004184968</v>
      </c>
      <c r="L37" s="24"/>
      <c r="M37" s="25">
        <v>0.1</v>
      </c>
      <c r="N37" s="24">
        <f t="shared" si="4"/>
        <v>-5481.5329210395939</v>
      </c>
      <c r="O37" s="24">
        <f>-PV($B$13,5,,-PV($B$14,5,,N37))</f>
        <v>-544.8402361309885</v>
      </c>
    </row>
    <row r="38" spans="4:19" x14ac:dyDescent="0.3">
      <c r="D38" s="23">
        <v>11</v>
      </c>
      <c r="E38" s="24"/>
      <c r="F38" s="24"/>
      <c r="G38" s="24"/>
      <c r="H38" s="24">
        <f t="shared" si="5"/>
        <v>-18802.566569765804</v>
      </c>
      <c r="I38" s="24">
        <f t="shared" si="6"/>
        <v>-8036.6364717199358</v>
      </c>
      <c r="J38" s="24">
        <f t="shared" si="7"/>
        <v>-1549.2356306281249</v>
      </c>
      <c r="K38" s="24">
        <f t="shared" si="8"/>
        <v>21093.204506381127</v>
      </c>
      <c r="L38" s="24"/>
      <c r="M38" s="25">
        <v>0.1</v>
      </c>
      <c r="N38" s="24">
        <f t="shared" si="4"/>
        <v>-7295.2341657327379</v>
      </c>
      <c r="O38" s="24">
        <f>-PV($B$13,5,,-PV($B$14,6,,N38))</f>
        <v>-588.56668326770227</v>
      </c>
    </row>
    <row r="39" spans="4:19" x14ac:dyDescent="0.3">
      <c r="D39" s="23">
        <v>12</v>
      </c>
      <c r="E39" s="24"/>
      <c r="F39" s="24"/>
      <c r="G39" s="24"/>
      <c r="H39" s="24">
        <f t="shared" si="5"/>
        <v>-23785.246710753745</v>
      </c>
      <c r="I39" s="24">
        <f t="shared" si="6"/>
        <v>-9724.3301307811234</v>
      </c>
      <c r="J39" s="24">
        <f t="shared" si="7"/>
        <v>-1704.1591936909374</v>
      </c>
      <c r="K39" s="24">
        <f t="shared" si="8"/>
        <v>25522.777452721162</v>
      </c>
      <c r="L39" s="24"/>
      <c r="M39" s="25">
        <v>0.1</v>
      </c>
      <c r="N39" s="24">
        <f t="shared" si="4"/>
        <v>-9690.9585825046488</v>
      </c>
      <c r="O39" s="24">
        <f>-PV($B$13,5,,-PV($B$14,7,,N39))</f>
        <v>-634.61811908875677</v>
      </c>
    </row>
    <row r="40" spans="4:19" x14ac:dyDescent="0.3">
      <c r="D40" s="23">
        <v>13</v>
      </c>
      <c r="E40" s="24"/>
      <c r="F40" s="24"/>
      <c r="G40" s="24"/>
      <c r="H40" s="24">
        <f t="shared" si="5"/>
        <v>-30088.33708910349</v>
      </c>
      <c r="I40" s="24">
        <f t="shared" si="6"/>
        <v>-11766.43945824516</v>
      </c>
      <c r="J40" s="24">
        <f t="shared" si="7"/>
        <v>-1874.5751130600311</v>
      </c>
      <c r="K40" s="24">
        <f t="shared" si="8"/>
        <v>30882.560717792607</v>
      </c>
      <c r="L40" s="24"/>
      <c r="M40" s="25">
        <v>0.1</v>
      </c>
      <c r="N40" s="24">
        <f t="shared" si="4"/>
        <v>-12846.790942616077</v>
      </c>
      <c r="O40" s="24">
        <f>-PV($B$13,5,,-PV($B$14,8,,N40))</f>
        <v>-682.85686378124126</v>
      </c>
    </row>
    <row r="41" spans="4:19" x14ac:dyDescent="0.3">
      <c r="D41" s="23">
        <v>14</v>
      </c>
      <c r="E41" s="24"/>
      <c r="F41" s="24"/>
      <c r="G41" s="24"/>
      <c r="H41" s="24">
        <f t="shared" si="5"/>
        <v>-38061.746417715913</v>
      </c>
      <c r="I41" s="24">
        <f t="shared" si="6"/>
        <v>-14237.391744476645</v>
      </c>
      <c r="J41" s="24">
        <f t="shared" si="7"/>
        <v>-2062.0326243660343</v>
      </c>
      <c r="K41" s="24">
        <f t="shared" si="8"/>
        <v>37367.898468529049</v>
      </c>
      <c r="L41" s="33" t="s">
        <v>39</v>
      </c>
      <c r="M41" s="25">
        <v>0.1</v>
      </c>
      <c r="N41" s="24">
        <f>SUM(H41:L41)</f>
        <v>-16993.272318029536</v>
      </c>
      <c r="O41" s="24">
        <f>-PV($B$13,5,,-PV($B$14,9,,N41))</f>
        <v>-733.16433679760883</v>
      </c>
    </row>
    <row r="42" spans="4:19" x14ac:dyDescent="0.3">
      <c r="D42" s="23">
        <v>15</v>
      </c>
      <c r="E42" s="24"/>
      <c r="F42" s="24"/>
      <c r="G42" s="24"/>
      <c r="H42" s="24">
        <f t="shared" si="5"/>
        <v>-48148.109218410631</v>
      </c>
      <c r="I42" s="24">
        <f>(10%*I41+I41)*10%+(10%*I41+I41)</f>
        <v>-17227.244010816739</v>
      </c>
      <c r="J42" s="24">
        <f>J41*10%+J41</f>
        <v>-2268.2358868026377</v>
      </c>
      <c r="K42" s="24">
        <f t="shared" si="8"/>
        <v>45215.157146920144</v>
      </c>
      <c r="L42" s="24">
        <f>10%*G5</f>
        <v>280</v>
      </c>
      <c r="M42" s="25">
        <v>0.1</v>
      </c>
      <c r="N42" s="24">
        <f>SUM(H42:L42)</f>
        <v>-22148.431969109864</v>
      </c>
      <c r="O42" s="24">
        <f>-PV($B$13,5,,-PV($B$14,10,,N42))</f>
        <v>-775.6335598619346</v>
      </c>
    </row>
    <row r="43" spans="4:19" x14ac:dyDescent="0.3">
      <c r="N43" s="24"/>
      <c r="O43" s="24"/>
    </row>
    <row r="46" spans="4:19" ht="14.4" customHeight="1" x14ac:dyDescent="0.3">
      <c r="D46" s="29"/>
      <c r="E46" s="29"/>
      <c r="F46" s="60" t="s">
        <v>46</v>
      </c>
      <c r="G46" s="60"/>
      <c r="H46" s="60"/>
      <c r="I46" s="60"/>
      <c r="J46" s="60"/>
      <c r="K46" s="60"/>
      <c r="L46" s="29"/>
      <c r="M46" s="29"/>
      <c r="N46" s="29"/>
      <c r="O46" s="29"/>
      <c r="P46" s="29"/>
      <c r="Q46" s="29"/>
      <c r="R46" s="29"/>
      <c r="S46" s="29"/>
    </row>
    <row r="47" spans="4:19" ht="28.8" customHeight="1" x14ac:dyDescent="0.3">
      <c r="D47" s="29"/>
      <c r="E47" s="29"/>
      <c r="F47" s="60"/>
      <c r="G47" s="60"/>
      <c r="H47" s="60"/>
      <c r="I47" s="60"/>
      <c r="J47" s="60"/>
      <c r="K47" s="60"/>
      <c r="L47" s="29"/>
      <c r="M47" s="29"/>
      <c r="N47" s="29"/>
      <c r="O47" s="29"/>
      <c r="P47" s="29"/>
      <c r="Q47" s="29"/>
      <c r="R47" s="29"/>
      <c r="S47" s="29"/>
    </row>
    <row r="49" spans="4:19" x14ac:dyDescent="0.3">
      <c r="E49" s="58" t="s">
        <v>51</v>
      </c>
      <c r="F49" s="58"/>
      <c r="G49" s="58"/>
      <c r="H49" s="58" t="s">
        <v>76</v>
      </c>
      <c r="I49" s="58"/>
      <c r="J49" s="58"/>
      <c r="K49" s="2" t="s">
        <v>41</v>
      </c>
      <c r="L49" s="2" t="s">
        <v>42</v>
      </c>
      <c r="M49" s="2" t="s">
        <v>78</v>
      </c>
      <c r="N49" s="2" t="s">
        <v>44</v>
      </c>
      <c r="O49" s="2" t="s">
        <v>52</v>
      </c>
      <c r="P49" s="2" t="s">
        <v>77</v>
      </c>
      <c r="Q49" s="2" t="s">
        <v>47</v>
      </c>
      <c r="R49" s="3" t="s">
        <v>48</v>
      </c>
      <c r="S49" s="3" t="s">
        <v>49</v>
      </c>
    </row>
    <row r="50" spans="4:19" x14ac:dyDescent="0.3">
      <c r="D50" s="2" t="s">
        <v>19</v>
      </c>
      <c r="E50" s="2" t="s">
        <v>20</v>
      </c>
      <c r="F50" s="2" t="s">
        <v>21</v>
      </c>
      <c r="G50" s="2" t="s">
        <v>22</v>
      </c>
      <c r="H50" s="24" t="s">
        <v>23</v>
      </c>
      <c r="I50" s="2" t="s">
        <v>24</v>
      </c>
      <c r="J50" s="2" t="s">
        <v>25</v>
      </c>
      <c r="K50"/>
      <c r="L50"/>
      <c r="M50"/>
      <c r="N50"/>
      <c r="O50"/>
      <c r="P50"/>
      <c r="Q50"/>
      <c r="R50"/>
      <c r="S50"/>
    </row>
    <row r="51" spans="4:19" x14ac:dyDescent="0.3">
      <c r="D51" s="23">
        <v>0</v>
      </c>
      <c r="E51" s="24">
        <f>-$E$5</f>
        <v>-262.5</v>
      </c>
      <c r="F51" s="24">
        <f>-$F$5</f>
        <v>-525</v>
      </c>
      <c r="G51" s="24">
        <f>-$G$5</f>
        <v>-2800</v>
      </c>
      <c r="I51" s="26"/>
      <c r="J51" s="26"/>
      <c r="K51" s="11"/>
      <c r="L51" s="11"/>
      <c r="N51" s="26">
        <f>SUM(E51:G51)</f>
        <v>-3587.5</v>
      </c>
      <c r="O51" s="11"/>
      <c r="P51" s="26">
        <f>K51+J51+I51+H51-O51</f>
        <v>0</v>
      </c>
      <c r="Q51" s="26">
        <f>$B$9*P51</f>
        <v>0</v>
      </c>
      <c r="R51" s="26">
        <v>-3587.5</v>
      </c>
      <c r="S51" s="26">
        <f>-PV($B$10,0,,R51)</f>
        <v>-3587.5</v>
      </c>
    </row>
    <row r="52" spans="4:19" x14ac:dyDescent="0.3">
      <c r="D52" s="23">
        <v>1</v>
      </c>
      <c r="E52" s="26"/>
      <c r="F52" s="26"/>
      <c r="G52" s="26"/>
      <c r="H52" s="24">
        <f>-3*B4</f>
        <v>-1500</v>
      </c>
      <c r="I52" s="26">
        <f>-2*B4</f>
        <v>-1000</v>
      </c>
      <c r="J52" s="26">
        <f>-B4</f>
        <v>-500</v>
      </c>
      <c r="K52" s="26">
        <v>0</v>
      </c>
      <c r="L52" s="26"/>
      <c r="M52" s="25">
        <v>0.15</v>
      </c>
      <c r="N52" s="26">
        <f>SUM(H52:L52)</f>
        <v>-3000</v>
      </c>
      <c r="O52" s="11">
        <f>SLN($G$5,$L$20,$B$8)</f>
        <v>168</v>
      </c>
      <c r="P52" s="26">
        <f>K52+J52+I52+H52-O52</f>
        <v>-3168</v>
      </c>
      <c r="Q52" s="26">
        <f t="shared" ref="Q52:Q66" si="9">$B$9*P52</f>
        <v>-792</v>
      </c>
      <c r="R52" s="26">
        <f>N52-Q52</f>
        <v>-2208</v>
      </c>
      <c r="S52" s="26">
        <f>-PV($B$10,1,,R52)</f>
        <v>-1971.4285714285713</v>
      </c>
    </row>
    <row r="53" spans="4:19" x14ac:dyDescent="0.3">
      <c r="D53" s="23">
        <v>2</v>
      </c>
      <c r="E53" s="26"/>
      <c r="F53" s="26"/>
      <c r="G53" s="26"/>
      <c r="H53" s="24">
        <f>(15%*H52+H52)*15%+(15%*H52+H52)</f>
        <v>-1983.75</v>
      </c>
      <c r="I53" s="26">
        <f>(10%*I52+I52)*15%+(10%*I52+I52)</f>
        <v>-1265</v>
      </c>
      <c r="J53" s="26">
        <f>J52*15%+J52</f>
        <v>-575</v>
      </c>
      <c r="K53" s="26">
        <v>0</v>
      </c>
      <c r="L53" s="26"/>
      <c r="M53" s="25">
        <v>0.15</v>
      </c>
      <c r="N53" s="26">
        <f t="shared" ref="N53:N59" si="10">SUM(H53:L53)</f>
        <v>-3823.75</v>
      </c>
      <c r="O53" s="11">
        <f t="shared" ref="O53:O66" si="11">SLN($G$5,$L$20,$B$8)</f>
        <v>168</v>
      </c>
      <c r="P53" s="26">
        <f t="shared" ref="P53:P64" si="12">K53+J53+I53+H53-O53</f>
        <v>-3991.75</v>
      </c>
      <c r="Q53" s="26">
        <f t="shared" si="9"/>
        <v>-997.9375</v>
      </c>
      <c r="R53" s="26">
        <f t="shared" ref="R53:R66" si="13">N53-Q53</f>
        <v>-2825.8125</v>
      </c>
      <c r="S53" s="26">
        <f>-PV($B$10,2,,R53)</f>
        <v>-2252.7204241071427</v>
      </c>
    </row>
    <row r="54" spans="4:19" x14ac:dyDescent="0.3">
      <c r="D54" s="23">
        <v>3</v>
      </c>
      <c r="E54" s="26"/>
      <c r="F54" s="26"/>
      <c r="G54" s="26"/>
      <c r="H54" s="24">
        <f>(15%*H53+H53)*15%+(15%*H53+H53)</f>
        <v>-2623.5093750000001</v>
      </c>
      <c r="I54" s="26">
        <f>(10%*I53+I53)*15%+(10%*I53+I53)</f>
        <v>-1600.2249999999999</v>
      </c>
      <c r="J54" s="26">
        <f>J53*15%+J53</f>
        <v>-661.25</v>
      </c>
      <c r="K54" s="26">
        <f>4*B3</f>
        <v>4200</v>
      </c>
      <c r="L54" s="26"/>
      <c r="M54" s="25">
        <v>0.15</v>
      </c>
      <c r="N54" s="26">
        <f t="shared" si="10"/>
        <v>-684.984375</v>
      </c>
      <c r="O54" s="11">
        <f t="shared" si="11"/>
        <v>168</v>
      </c>
      <c r="P54" s="26">
        <f t="shared" si="12"/>
        <v>-852.984375</v>
      </c>
      <c r="Q54" s="26">
        <f t="shared" si="9"/>
        <v>-213.24609375</v>
      </c>
      <c r="R54" s="26">
        <f>N54-Q54</f>
        <v>-471.73828125</v>
      </c>
      <c r="S54" s="26">
        <f>-PV($B$10,3,,R54)</f>
        <v>-335.7739907311975</v>
      </c>
    </row>
    <row r="55" spans="4:19" x14ac:dyDescent="0.3">
      <c r="D55" s="23">
        <v>4</v>
      </c>
      <c r="E55" s="26"/>
      <c r="F55" s="26"/>
      <c r="G55" s="26"/>
      <c r="H55" s="24">
        <f>(15%*H54+H54)*15%+(15%*H54+H54)</f>
        <v>-3469.5911484375001</v>
      </c>
      <c r="I55" s="26">
        <f>(10%*I54+I54)*15%+(10%*I54+I54)</f>
        <v>-2024.284625</v>
      </c>
      <c r="J55" s="26">
        <f>J54*15%+J54</f>
        <v>-760.4375</v>
      </c>
      <c r="K55" s="26">
        <f>(10%*K54+K54)*15%+(10%*K54+K54)</f>
        <v>5313</v>
      </c>
      <c r="L55" s="26"/>
      <c r="M55" s="25">
        <v>0.15</v>
      </c>
      <c r="N55" s="26">
        <f t="shared" si="10"/>
        <v>-941.31327343750036</v>
      </c>
      <c r="O55" s="11">
        <f t="shared" si="11"/>
        <v>168</v>
      </c>
      <c r="P55" s="26">
        <f t="shared" si="12"/>
        <v>-1109.3132734375004</v>
      </c>
      <c r="Q55" s="26">
        <f t="shared" si="9"/>
        <v>-277.32831835937509</v>
      </c>
      <c r="R55" s="26">
        <f t="shared" si="13"/>
        <v>-663.98495507812527</v>
      </c>
      <c r="S55" s="26">
        <f>-PV($B$10,4,,R55)</f>
        <v>-421.9744427409683</v>
      </c>
    </row>
    <row r="56" spans="4:19" x14ac:dyDescent="0.3">
      <c r="D56" s="23">
        <v>5</v>
      </c>
      <c r="E56" s="26"/>
      <c r="F56" s="26"/>
      <c r="G56" s="26"/>
      <c r="H56" s="24">
        <f>(15%*H55+H55)*15%+(15%*H55+H55)</f>
        <v>-4588.5342938085942</v>
      </c>
      <c r="I56" s="26">
        <f>(10%*I55+I55)*15%+(10%*I55+I55)</f>
        <v>-2560.7200506250001</v>
      </c>
      <c r="J56" s="26">
        <f>J55*15%+J55</f>
        <v>-874.50312499999995</v>
      </c>
      <c r="K56" s="26">
        <f>(10%*K55+K55)*15%+(10%*K55+K55)</f>
        <v>6720.9449999999997</v>
      </c>
      <c r="L56" s="26"/>
      <c r="M56" s="25">
        <v>0.15</v>
      </c>
      <c r="N56" s="26">
        <f t="shared" si="10"/>
        <v>-1302.8124694335947</v>
      </c>
      <c r="O56" s="11">
        <f t="shared" si="11"/>
        <v>168</v>
      </c>
      <c r="P56" s="26">
        <f t="shared" si="12"/>
        <v>-1470.8124694335947</v>
      </c>
      <c r="Q56" s="26">
        <f t="shared" si="9"/>
        <v>-367.70311735839869</v>
      </c>
      <c r="R56" s="26">
        <f t="shared" si="13"/>
        <v>-935.10935207519606</v>
      </c>
      <c r="S56" s="26">
        <f>-PV($B$10,5,,R56)</f>
        <v>-530.60615940108505</v>
      </c>
    </row>
    <row r="57" spans="4:19" x14ac:dyDescent="0.3">
      <c r="D57" s="23">
        <v>6</v>
      </c>
      <c r="E57" s="26"/>
      <c r="F57" s="26"/>
      <c r="G57" s="26"/>
      <c r="H57" s="24">
        <f>(15%*H56+H56)*10%+(15%*H56+H56)</f>
        <v>-5804.4958816678718</v>
      </c>
      <c r="I57" s="26">
        <f>(10%*I56+I56)*10%+(10%*I56+I56)</f>
        <v>-3098.4712612562503</v>
      </c>
      <c r="J57" s="26">
        <f>J56*10%+J56</f>
        <v>-961.95343749999995</v>
      </c>
      <c r="K57" s="26">
        <f>(10%*K56+K56)*10%+(10%*K56+K56)</f>
        <v>8132.3434500000003</v>
      </c>
      <c r="L57" s="26"/>
      <c r="M57" s="25">
        <v>0.1</v>
      </c>
      <c r="N57" s="26">
        <f t="shared" si="10"/>
        <v>-1732.5771304241225</v>
      </c>
      <c r="O57" s="11">
        <f t="shared" si="11"/>
        <v>168</v>
      </c>
      <c r="P57" s="26">
        <f t="shared" si="12"/>
        <v>-1900.5771304241221</v>
      </c>
      <c r="Q57" s="26">
        <f t="shared" si="9"/>
        <v>-475.14428260603052</v>
      </c>
      <c r="R57" s="26">
        <f t="shared" si="13"/>
        <v>-1257.4328478180919</v>
      </c>
      <c r="S57" s="26">
        <f>-PV($B$13,5,,-PV($B$14,D52,,R57))</f>
        <v>-287.93521176753882</v>
      </c>
    </row>
    <row r="58" spans="4:19" x14ac:dyDescent="0.3">
      <c r="D58" s="23">
        <v>7</v>
      </c>
      <c r="E58" s="26"/>
      <c r="F58" s="26"/>
      <c r="G58" s="26"/>
      <c r="H58" s="24">
        <f t="shared" ref="H58:H66" si="14">(15%*H57+H57)*10%+(15%*H57+H57)</f>
        <v>-7342.6872903098583</v>
      </c>
      <c r="I58" s="26">
        <f t="shared" ref="I58:I66" si="15">(10%*I57+I57)*10%+(10%*I57+I57)</f>
        <v>-3749.1502261200631</v>
      </c>
      <c r="J58" s="26">
        <f t="shared" ref="J58:J65" si="16">J57*10%+J57</f>
        <v>-1058.14878125</v>
      </c>
      <c r="K58" s="26">
        <f t="shared" ref="K58:K66" si="17">(10%*K57+K57)*10%+(10%*K57+K57)</f>
        <v>9840.1355745000019</v>
      </c>
      <c r="L58" s="26"/>
      <c r="M58" s="25">
        <v>0.1</v>
      </c>
      <c r="N58" s="26">
        <f t="shared" si="10"/>
        <v>-2309.8507231799194</v>
      </c>
      <c r="O58" s="11">
        <f t="shared" si="11"/>
        <v>168</v>
      </c>
      <c r="P58" s="26">
        <f t="shared" si="12"/>
        <v>-2477.8507231799194</v>
      </c>
      <c r="Q58" s="26">
        <f t="shared" si="9"/>
        <v>-619.46268079497986</v>
      </c>
      <c r="R58" s="26">
        <f t="shared" si="13"/>
        <v>-1690.3880423849396</v>
      </c>
      <c r="S58" s="26">
        <f t="shared" ref="S58:S66" si="18">-PV($B$13,5,,-PV($B$14,D53,,R58))</f>
        <v>-314.18516947666996</v>
      </c>
    </row>
    <row r="59" spans="4:19" x14ac:dyDescent="0.3">
      <c r="D59" s="23">
        <v>8</v>
      </c>
      <c r="E59" s="26"/>
      <c r="F59" s="26"/>
      <c r="G59" s="26"/>
      <c r="H59" s="24">
        <f t="shared" si="14"/>
        <v>-9288.49942224197</v>
      </c>
      <c r="I59" s="26">
        <f t="shared" si="15"/>
        <v>-4536.4717736052762</v>
      </c>
      <c r="J59" s="26">
        <f t="shared" si="16"/>
        <v>-1163.9636593749999</v>
      </c>
      <c r="K59" s="26">
        <f t="shared" si="17"/>
        <v>11906.564045145002</v>
      </c>
      <c r="L59" s="26"/>
      <c r="M59" s="25">
        <v>0.1</v>
      </c>
      <c r="N59" s="26">
        <f t="shared" si="10"/>
        <v>-3082.3708100772456</v>
      </c>
      <c r="O59" s="11">
        <f t="shared" si="11"/>
        <v>168</v>
      </c>
      <c r="P59" s="26">
        <f t="shared" si="12"/>
        <v>-3250.3708100772446</v>
      </c>
      <c r="Q59" s="26">
        <f t="shared" si="9"/>
        <v>-812.59270251931116</v>
      </c>
      <c r="R59" s="26">
        <f t="shared" si="13"/>
        <v>-2269.7781075579342</v>
      </c>
      <c r="S59" s="26">
        <f t="shared" si="18"/>
        <v>-342.43012489330061</v>
      </c>
    </row>
    <row r="60" spans="4:19" x14ac:dyDescent="0.3">
      <c r="D60" s="23">
        <v>9</v>
      </c>
      <c r="E60" s="26"/>
      <c r="F60" s="26"/>
      <c r="G60" s="26"/>
      <c r="H60" s="24">
        <f t="shared" si="14"/>
        <v>-11749.951769136092</v>
      </c>
      <c r="I60" s="26">
        <f t="shared" si="15"/>
        <v>-5489.1308460623841</v>
      </c>
      <c r="J60" s="26">
        <f t="shared" si="16"/>
        <v>-1280.3600253124998</v>
      </c>
      <c r="K60" s="26">
        <f t="shared" si="17"/>
        <v>14406.942494625453</v>
      </c>
      <c r="L60" s="26"/>
      <c r="M60" s="25">
        <v>0.1</v>
      </c>
      <c r="N60" s="26">
        <f t="shared" ref="N60:N66" si="19">SUM(H60:L60)</f>
        <v>-4112.500145885524</v>
      </c>
      <c r="O60" s="11">
        <f t="shared" si="11"/>
        <v>168</v>
      </c>
      <c r="P60" s="26">
        <f t="shared" si="12"/>
        <v>-4280.500145885524</v>
      </c>
      <c r="Q60" s="26">
        <f t="shared" si="9"/>
        <v>-1070.125036471381</v>
      </c>
      <c r="R60" s="26">
        <f t="shared" si="13"/>
        <v>-3042.375109414143</v>
      </c>
      <c r="S60" s="26">
        <f t="shared" si="18"/>
        <v>-372.55518574241785</v>
      </c>
    </row>
    <row r="61" spans="4:19" x14ac:dyDescent="0.3">
      <c r="D61" s="23">
        <v>10</v>
      </c>
      <c r="E61" s="26"/>
      <c r="F61" s="26"/>
      <c r="G61" s="26"/>
      <c r="H61" s="24">
        <f t="shared" si="14"/>
        <v>-14863.688987957157</v>
      </c>
      <c r="I61" s="26">
        <f t="shared" si="15"/>
        <v>-6641.848323735484</v>
      </c>
      <c r="J61" s="26">
        <f t="shared" si="16"/>
        <v>-1408.3960278437498</v>
      </c>
      <c r="K61" s="26">
        <f t="shared" si="17"/>
        <v>17432.4004184968</v>
      </c>
      <c r="L61" s="26"/>
      <c r="M61" s="25">
        <v>0.1</v>
      </c>
      <c r="N61" s="26">
        <f t="shared" si="19"/>
        <v>-5481.5329210395939</v>
      </c>
      <c r="O61" s="11">
        <f t="shared" si="11"/>
        <v>168</v>
      </c>
      <c r="P61" s="26">
        <f t="shared" si="12"/>
        <v>-5649.5329210395903</v>
      </c>
      <c r="Q61" s="26">
        <f t="shared" si="9"/>
        <v>-1412.3832302598976</v>
      </c>
      <c r="R61" s="26">
        <f t="shared" si="13"/>
        <v>-4069.1496907796964</v>
      </c>
      <c r="S61" s="26">
        <f t="shared" si="18"/>
        <v>-404.45556203214028</v>
      </c>
    </row>
    <row r="62" spans="4:19" x14ac:dyDescent="0.3">
      <c r="D62" s="23">
        <v>11</v>
      </c>
      <c r="E62" s="26"/>
      <c r="F62" s="26"/>
      <c r="G62" s="26"/>
      <c r="H62" s="24">
        <f t="shared" si="14"/>
        <v>-18802.566569765804</v>
      </c>
      <c r="I62" s="26">
        <f t="shared" si="15"/>
        <v>-8036.6364717199358</v>
      </c>
      <c r="J62" s="26">
        <f t="shared" si="16"/>
        <v>-1549.2356306281249</v>
      </c>
      <c r="K62" s="26">
        <f t="shared" si="17"/>
        <v>21093.204506381127</v>
      </c>
      <c r="L62" s="26"/>
      <c r="M62" s="25">
        <v>0.1</v>
      </c>
      <c r="N62" s="26">
        <f t="shared" si="19"/>
        <v>-7295.2341657327379</v>
      </c>
      <c r="O62" s="11">
        <f t="shared" si="11"/>
        <v>168</v>
      </c>
      <c r="P62" s="26">
        <f t="shared" si="12"/>
        <v>-7463.2341657327379</v>
      </c>
      <c r="Q62" s="26">
        <f t="shared" si="9"/>
        <v>-1865.8085414331845</v>
      </c>
      <c r="R62" s="26">
        <f t="shared" si="13"/>
        <v>-5429.4256242995534</v>
      </c>
      <c r="S62" s="26">
        <f t="shared" si="18"/>
        <v>-438.03652619582437</v>
      </c>
    </row>
    <row r="63" spans="4:19" x14ac:dyDescent="0.3">
      <c r="D63" s="23">
        <v>12</v>
      </c>
      <c r="E63" s="26"/>
      <c r="F63" s="26"/>
      <c r="G63" s="26"/>
      <c r="H63" s="24">
        <f t="shared" si="14"/>
        <v>-23785.246710753745</v>
      </c>
      <c r="I63" s="26">
        <f t="shared" si="15"/>
        <v>-9724.3301307811234</v>
      </c>
      <c r="J63" s="26">
        <f t="shared" si="16"/>
        <v>-1704.1591936909374</v>
      </c>
      <c r="K63" s="26">
        <f t="shared" si="17"/>
        <v>25522.777452721162</v>
      </c>
      <c r="L63" s="26"/>
      <c r="M63" s="25">
        <v>0.1</v>
      </c>
      <c r="N63" s="26">
        <f t="shared" si="19"/>
        <v>-9690.9585825046488</v>
      </c>
      <c r="O63" s="11">
        <f t="shared" si="11"/>
        <v>168</v>
      </c>
      <c r="P63" s="26">
        <f t="shared" si="12"/>
        <v>-9858.9585825046452</v>
      </c>
      <c r="Q63" s="26">
        <f t="shared" si="9"/>
        <v>-2464.7396456261613</v>
      </c>
      <c r="R63" s="26">
        <f t="shared" si="13"/>
        <v>-7226.2189368784875</v>
      </c>
      <c r="S63" s="26">
        <f t="shared" si="18"/>
        <v>-473.21319462910645</v>
      </c>
    </row>
    <row r="64" spans="4:19" x14ac:dyDescent="0.3">
      <c r="D64" s="23">
        <v>13</v>
      </c>
      <c r="E64" s="26"/>
      <c r="F64" s="26"/>
      <c r="G64" s="26"/>
      <c r="H64" s="24">
        <f t="shared" si="14"/>
        <v>-30088.33708910349</v>
      </c>
      <c r="I64" s="26">
        <f t="shared" si="15"/>
        <v>-11766.43945824516</v>
      </c>
      <c r="J64" s="26">
        <f t="shared" si="16"/>
        <v>-1874.5751130600311</v>
      </c>
      <c r="K64" s="26">
        <f t="shared" si="17"/>
        <v>30882.560717792607</v>
      </c>
      <c r="L64" s="26"/>
      <c r="M64" s="25">
        <v>0.1</v>
      </c>
      <c r="N64" s="26">
        <f t="shared" si="19"/>
        <v>-12846.790942616077</v>
      </c>
      <c r="O64" s="11">
        <f t="shared" si="11"/>
        <v>168</v>
      </c>
      <c r="P64" s="26">
        <f t="shared" si="12"/>
        <v>-13014.790942616077</v>
      </c>
      <c r="Q64" s="26">
        <f t="shared" si="9"/>
        <v>-3253.6977356540192</v>
      </c>
      <c r="R64" s="26">
        <f t="shared" si="13"/>
        <v>-9593.0932069620576</v>
      </c>
      <c r="S64" s="26">
        <f t="shared" si="18"/>
        <v>-509.91018461558906</v>
      </c>
    </row>
    <row r="65" spans="4:19" x14ac:dyDescent="0.3">
      <c r="D65" s="23">
        <v>14</v>
      </c>
      <c r="E65" s="26"/>
      <c r="F65" s="26"/>
      <c r="G65" s="26"/>
      <c r="H65" s="24">
        <f t="shared" si="14"/>
        <v>-38061.746417715913</v>
      </c>
      <c r="I65" s="26">
        <f t="shared" si="15"/>
        <v>-14237.391744476645</v>
      </c>
      <c r="J65" s="26">
        <f t="shared" si="16"/>
        <v>-2062.0326243660343</v>
      </c>
      <c r="K65" s="26">
        <f t="shared" si="17"/>
        <v>37367.898468529049</v>
      </c>
      <c r="L65" s="26"/>
      <c r="M65" s="25">
        <v>0.1</v>
      </c>
      <c r="N65" s="26">
        <f t="shared" si="19"/>
        <v>-16993.272318029536</v>
      </c>
      <c r="O65" s="11">
        <f t="shared" si="11"/>
        <v>168</v>
      </c>
      <c r="P65" s="26">
        <f>K65+J65+I65+H65-O65</f>
        <v>-17161.27231802954</v>
      </c>
      <c r="Q65" s="26">
        <f t="shared" si="9"/>
        <v>-4290.3180795073849</v>
      </c>
      <c r="R65" s="26">
        <f t="shared" si="13"/>
        <v>-12702.95423852215</v>
      </c>
      <c r="S65" s="26">
        <f t="shared" si="18"/>
        <v>-548.06118829598097</v>
      </c>
    </row>
    <row r="66" spans="4:19" x14ac:dyDescent="0.3">
      <c r="D66" s="23">
        <v>15</v>
      </c>
      <c r="E66" s="26"/>
      <c r="F66" s="26"/>
      <c r="G66" s="26"/>
      <c r="H66" s="24">
        <f t="shared" si="14"/>
        <v>-48148.109218410631</v>
      </c>
      <c r="I66" s="26">
        <f t="shared" si="15"/>
        <v>-17227.244010816739</v>
      </c>
      <c r="J66" s="26">
        <f>J65*10%+J65</f>
        <v>-2268.2358868026377</v>
      </c>
      <c r="K66" s="26">
        <f t="shared" si="17"/>
        <v>45215.157146920144</v>
      </c>
      <c r="L66" s="26">
        <f>10%*$G$5</f>
        <v>280</v>
      </c>
      <c r="M66" s="25">
        <v>0.1</v>
      </c>
      <c r="N66" s="26">
        <f t="shared" si="19"/>
        <v>-22148.431969109864</v>
      </c>
      <c r="O66" s="11">
        <f t="shared" si="11"/>
        <v>168</v>
      </c>
      <c r="P66" s="26">
        <f>K66+J66+I66+H66-O66</f>
        <v>-22596.431969109861</v>
      </c>
      <c r="Q66" s="26">
        <f t="shared" si="9"/>
        <v>-5649.1079922774652</v>
      </c>
      <c r="R66" s="26">
        <f t="shared" si="13"/>
        <v>-16499.323976832398</v>
      </c>
      <c r="S66" s="26">
        <f t="shared" si="18"/>
        <v>-577.80295279206655</v>
      </c>
    </row>
    <row r="67" spans="4:19" x14ac:dyDescent="0.3">
      <c r="Q67" s="41" t="s">
        <v>62</v>
      </c>
      <c r="R67" s="42"/>
      <c r="S67" s="42"/>
    </row>
    <row r="68" spans="4:19" x14ac:dyDescent="0.3">
      <c r="D68" s="43"/>
      <c r="E68" s="43"/>
      <c r="F68" s="43"/>
      <c r="G68" s="43"/>
      <c r="H68" s="44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</row>
    <row r="69" spans="4:19" x14ac:dyDescent="0.3">
      <c r="R69" s="3"/>
      <c r="S69" s="3"/>
    </row>
    <row r="70" spans="4:19" x14ac:dyDescent="0.3">
      <c r="E70" s="58" t="s">
        <v>51</v>
      </c>
      <c r="F70" s="58"/>
      <c r="G70" s="58"/>
      <c r="H70" s="58" t="s">
        <v>76</v>
      </c>
      <c r="I70" s="58"/>
      <c r="J70" s="58"/>
      <c r="K70" s="2" t="s">
        <v>40</v>
      </c>
      <c r="L70" s="2" t="s">
        <v>42</v>
      </c>
      <c r="M70" s="2" t="s">
        <v>43</v>
      </c>
      <c r="N70" s="2" t="s">
        <v>44</v>
      </c>
      <c r="O70" s="2" t="s">
        <v>53</v>
      </c>
      <c r="P70" s="2" t="s">
        <v>77</v>
      </c>
      <c r="Q70" s="2" t="s">
        <v>47</v>
      </c>
      <c r="R70" s="3" t="s">
        <v>48</v>
      </c>
      <c r="S70" s="3" t="s">
        <v>49</v>
      </c>
    </row>
    <row r="71" spans="4:19" x14ac:dyDescent="0.3">
      <c r="D71" s="2" t="s">
        <v>19</v>
      </c>
      <c r="E71" s="2" t="s">
        <v>20</v>
      </c>
      <c r="F71" s="2" t="s">
        <v>21</v>
      </c>
      <c r="G71" s="2" t="s">
        <v>22</v>
      </c>
      <c r="H71" s="24" t="s">
        <v>23</v>
      </c>
      <c r="I71" s="2" t="s">
        <v>24</v>
      </c>
      <c r="J71" s="2" t="s">
        <v>25</v>
      </c>
      <c r="K71"/>
      <c r="L71"/>
      <c r="M71"/>
      <c r="N71"/>
      <c r="O71"/>
      <c r="P71"/>
      <c r="Q71"/>
      <c r="R71"/>
      <c r="S71"/>
    </row>
    <row r="72" spans="4:19" x14ac:dyDescent="0.3">
      <c r="D72" s="23">
        <v>0</v>
      </c>
      <c r="E72" s="24">
        <f>-$E$5</f>
        <v>-262.5</v>
      </c>
      <c r="F72" s="24">
        <f>-$F$5</f>
        <v>-525</v>
      </c>
      <c r="G72" s="24">
        <f>-$G$5</f>
        <v>-2800</v>
      </c>
      <c r="I72" s="26"/>
      <c r="J72" s="26"/>
      <c r="K72" s="11"/>
      <c r="L72" s="11"/>
      <c r="N72" s="26">
        <f>SUM(E72:G72)</f>
        <v>-3587.5</v>
      </c>
      <c r="O72" s="11"/>
      <c r="P72" s="26">
        <f>K72+J72+I72+H72-O72</f>
        <v>0</v>
      </c>
      <c r="Q72" s="26">
        <f>$B$9*P72</f>
        <v>0</v>
      </c>
      <c r="R72" s="26">
        <f>SUM(E72:G72)</f>
        <v>-3587.5</v>
      </c>
      <c r="S72" s="26">
        <f>-PV($B$10,0,,R72)</f>
        <v>-3587.5</v>
      </c>
    </row>
    <row r="73" spans="4:19" x14ac:dyDescent="0.3">
      <c r="D73" s="23">
        <v>1</v>
      </c>
      <c r="E73" s="26"/>
      <c r="F73" s="26"/>
      <c r="G73" s="26"/>
      <c r="H73" s="24">
        <f>-3*B4</f>
        <v>-1500</v>
      </c>
      <c r="I73" s="26">
        <f>-2*$B$4</f>
        <v>-1000</v>
      </c>
      <c r="J73" s="26">
        <f>-$B$4</f>
        <v>-500</v>
      </c>
      <c r="K73" s="26">
        <v>0</v>
      </c>
      <c r="L73" s="26"/>
      <c r="M73" s="25">
        <v>0.15</v>
      </c>
      <c r="N73" s="26">
        <f>SUM(H73:L73)</f>
        <v>-3000</v>
      </c>
      <c r="O73" s="11">
        <f>SYD($G$5,$L$20,15,D73)</f>
        <v>315</v>
      </c>
      <c r="P73" s="26">
        <f t="shared" ref="P73:P87" si="20">K73+J73+I73+H73-O73</f>
        <v>-3315</v>
      </c>
      <c r="Q73" s="26">
        <f t="shared" ref="Q73:Q87" si="21">$B$9*P73</f>
        <v>-828.75</v>
      </c>
      <c r="R73" s="26">
        <f>N73-Q73</f>
        <v>-2171.25</v>
      </c>
      <c r="S73" s="26">
        <f>-PV($B$13,D73,,R73)</f>
        <v>-1685.753105590062</v>
      </c>
    </row>
    <row r="74" spans="4:19" x14ac:dyDescent="0.3">
      <c r="D74" s="23">
        <v>2</v>
      </c>
      <c r="E74" s="26"/>
      <c r="F74" s="26"/>
      <c r="G74" s="26"/>
      <c r="H74" s="24">
        <f>(15%*H73+H73)*15%+(15%*H73+H73)</f>
        <v>-1983.75</v>
      </c>
      <c r="I74" s="26">
        <f>(10%*I73+I73)*15%+(10%*I73+I73)</f>
        <v>-1265</v>
      </c>
      <c r="J74" s="26">
        <f>J73*15%+J73</f>
        <v>-575</v>
      </c>
      <c r="K74" s="26">
        <v>0</v>
      </c>
      <c r="L74" s="26"/>
      <c r="M74" s="25">
        <v>0.15</v>
      </c>
      <c r="N74" s="26">
        <f t="shared" ref="N74:N80" si="22">SUM(H74:L74)</f>
        <v>-3823.75</v>
      </c>
      <c r="O74" s="11">
        <f t="shared" ref="O74:O87" si="23">SYD($G$5,$L$20,15,D74)</f>
        <v>294</v>
      </c>
      <c r="P74" s="26">
        <f t="shared" si="20"/>
        <v>-4117.75</v>
      </c>
      <c r="Q74" s="26">
        <f t="shared" si="21"/>
        <v>-1029.4375</v>
      </c>
      <c r="R74" s="26">
        <f t="shared" ref="R74:R87" si="24">N74-Q74</f>
        <v>-2794.3125</v>
      </c>
      <c r="S74" s="26">
        <f>-PV($B$13,D74,,R74)</f>
        <v>-1684.3923001620306</v>
      </c>
    </row>
    <row r="75" spans="4:19" x14ac:dyDescent="0.3">
      <c r="D75" s="23">
        <v>3</v>
      </c>
      <c r="E75" s="26"/>
      <c r="F75" s="26"/>
      <c r="G75" s="26"/>
      <c r="H75" s="24">
        <f>(15%*H74+H74)*15%+(15%*H74+H74)</f>
        <v>-2623.5093750000001</v>
      </c>
      <c r="I75" s="26">
        <f>(10%*I74+I74)*15%+(10%*I74+I74)</f>
        <v>-1600.2249999999999</v>
      </c>
      <c r="J75" s="26">
        <f>J74*15%+J74</f>
        <v>-661.25</v>
      </c>
      <c r="K75" s="26">
        <f>4*B3</f>
        <v>4200</v>
      </c>
      <c r="L75" s="26"/>
      <c r="M75" s="25">
        <v>0.15</v>
      </c>
      <c r="N75" s="26">
        <f t="shared" si="22"/>
        <v>-684.984375</v>
      </c>
      <c r="O75" s="11">
        <f t="shared" si="23"/>
        <v>273</v>
      </c>
      <c r="P75" s="26">
        <f t="shared" si="20"/>
        <v>-957.984375</v>
      </c>
      <c r="Q75" s="26">
        <f t="shared" si="21"/>
        <v>-239.49609375</v>
      </c>
      <c r="R75" s="26">
        <f t="shared" si="24"/>
        <v>-445.48828125</v>
      </c>
      <c r="S75" s="26">
        <f>-PV($B$13,D75,,R75)</f>
        <v>-208.49166382910857</v>
      </c>
    </row>
    <row r="76" spans="4:19" x14ac:dyDescent="0.3">
      <c r="D76" s="23">
        <v>4</v>
      </c>
      <c r="E76" s="26"/>
      <c r="F76" s="26"/>
      <c r="G76" s="26"/>
      <c r="H76" s="24">
        <f>(15%*H75+H75)*15%+(15%*H75+H75)</f>
        <v>-3469.5911484375001</v>
      </c>
      <c r="I76" s="26">
        <f>(10%*I75+I75)*15%+(10%*I75+I75)</f>
        <v>-2024.284625</v>
      </c>
      <c r="J76" s="26">
        <f>J75*15%+J75</f>
        <v>-760.4375</v>
      </c>
      <c r="K76" s="26">
        <f>(10%*K75+K75)*15%+(10%*K75+K75)</f>
        <v>5313</v>
      </c>
      <c r="L76" s="26"/>
      <c r="M76" s="25">
        <v>0.15</v>
      </c>
      <c r="N76" s="26">
        <f t="shared" si="22"/>
        <v>-941.31327343750036</v>
      </c>
      <c r="O76" s="11">
        <f t="shared" si="23"/>
        <v>252</v>
      </c>
      <c r="P76" s="26">
        <f t="shared" si="20"/>
        <v>-1193.3132734375004</v>
      </c>
      <c r="Q76" s="26">
        <f t="shared" si="21"/>
        <v>-298.32831835937509</v>
      </c>
      <c r="R76" s="26">
        <f t="shared" si="24"/>
        <v>-642.98495507812527</v>
      </c>
      <c r="S76" s="26">
        <f>-PV($B$13,D76,,R76)</f>
        <v>-233.63470719127895</v>
      </c>
    </row>
    <row r="77" spans="4:19" x14ac:dyDescent="0.3">
      <c r="D77" s="23">
        <v>5</v>
      </c>
      <c r="E77" s="26"/>
      <c r="F77" s="26"/>
      <c r="G77" s="26"/>
      <c r="H77" s="24">
        <f>(15%*H76+H76)*15%+(15%*H76+H76)</f>
        <v>-4588.5342938085942</v>
      </c>
      <c r="I77" s="26">
        <f>(10%*I76+I76)*15%+(10%*I76+I76)</f>
        <v>-2560.7200506250001</v>
      </c>
      <c r="J77" s="26">
        <f>J76*15%+J76</f>
        <v>-874.50312499999995</v>
      </c>
      <c r="K77" s="26">
        <f>(10%*K76+K76)*15%+(10%*K76+K76)</f>
        <v>6720.9449999999997</v>
      </c>
      <c r="L77" s="26"/>
      <c r="M77" s="25">
        <v>0.15</v>
      </c>
      <c r="N77" s="26">
        <f t="shared" si="22"/>
        <v>-1302.8124694335947</v>
      </c>
      <c r="O77" s="11">
        <f t="shared" si="23"/>
        <v>231</v>
      </c>
      <c r="P77" s="26">
        <f t="shared" si="20"/>
        <v>-1533.8124694335947</v>
      </c>
      <c r="Q77" s="26">
        <f t="shared" si="21"/>
        <v>-383.45311735839869</v>
      </c>
      <c r="R77" s="26">
        <f t="shared" si="24"/>
        <v>-919.35935207519606</v>
      </c>
      <c r="S77" s="26">
        <f>-PV($B$13,D77,,R77)</f>
        <v>-259.36178301175914</v>
      </c>
    </row>
    <row r="78" spans="4:19" x14ac:dyDescent="0.3">
      <c r="D78" s="23">
        <v>6</v>
      </c>
      <c r="E78" s="26"/>
      <c r="F78" s="26"/>
      <c r="G78" s="26"/>
      <c r="H78" s="24">
        <f>(15%*H77+H77)*10%+(15%*H77+H77)</f>
        <v>-5804.4958816678718</v>
      </c>
      <c r="I78" s="26">
        <f>(10%*I77+I77)*10%+(10%*I77+I77)</f>
        <v>-3098.4712612562503</v>
      </c>
      <c r="J78" s="26">
        <f>J77*10%+J77</f>
        <v>-961.95343749999995</v>
      </c>
      <c r="K78" s="26">
        <f>(10%*K77+K77)*10%+(10%*K77+K77)</f>
        <v>8132.3434500000003</v>
      </c>
      <c r="L78" s="26"/>
      <c r="M78" s="25">
        <v>0.1</v>
      </c>
      <c r="N78" s="26">
        <f t="shared" si="22"/>
        <v>-1732.5771304241225</v>
      </c>
      <c r="O78" s="11">
        <f t="shared" si="23"/>
        <v>210</v>
      </c>
      <c r="P78" s="26">
        <f t="shared" si="20"/>
        <v>-1942.5771304241221</v>
      </c>
      <c r="Q78" s="26">
        <f t="shared" si="21"/>
        <v>-485.64428260603052</v>
      </c>
      <c r="R78" s="26">
        <f t="shared" si="24"/>
        <v>-1246.9328478180919</v>
      </c>
      <c r="S78" s="26">
        <f>-PV($B$13,5,,-PV($B$14,D73,,R78))</f>
        <v>-285.530852975095</v>
      </c>
    </row>
    <row r="79" spans="4:19" x14ac:dyDescent="0.3">
      <c r="D79" s="23">
        <v>7</v>
      </c>
      <c r="E79" s="26"/>
      <c r="F79" s="26"/>
      <c r="G79" s="26"/>
      <c r="H79" s="24">
        <f t="shared" ref="H79:H87" si="25">(15%*H78+H78)*10%+(15%*H78+H78)</f>
        <v>-7342.6872903098583</v>
      </c>
      <c r="I79" s="26">
        <f t="shared" ref="I79:I87" si="26">(10%*I78+I78)*10%+(10%*I78+I78)</f>
        <v>-3749.1502261200631</v>
      </c>
      <c r="J79" s="26">
        <f t="shared" ref="J79:J86" si="27">J78*10%+J78</f>
        <v>-1058.14878125</v>
      </c>
      <c r="K79" s="26">
        <f t="shared" ref="K79:K87" si="28">(10%*K78+K78)*10%+(10%*K78+K78)</f>
        <v>9840.1355745000019</v>
      </c>
      <c r="L79" s="26"/>
      <c r="M79" s="25">
        <v>0.1</v>
      </c>
      <c r="N79" s="26">
        <f t="shared" si="22"/>
        <v>-2309.8507231799194</v>
      </c>
      <c r="O79" s="11">
        <f t="shared" si="23"/>
        <v>189</v>
      </c>
      <c r="P79" s="26">
        <f t="shared" si="20"/>
        <v>-2498.8507231799194</v>
      </c>
      <c r="Q79" s="26">
        <f t="shared" si="21"/>
        <v>-624.71268079497986</v>
      </c>
      <c r="R79" s="26">
        <f t="shared" si="24"/>
        <v>-1685.1380423849396</v>
      </c>
      <c r="S79" s="26">
        <f t="shared" ref="S79:S87" si="29">-PV($B$13,5,,-PV($B$14,D74,,R79))</f>
        <v>-313.20937451220408</v>
      </c>
    </row>
    <row r="80" spans="4:19" x14ac:dyDescent="0.3">
      <c r="D80" s="23">
        <v>8</v>
      </c>
      <c r="E80" s="26"/>
      <c r="F80" s="26"/>
      <c r="G80" s="26"/>
      <c r="H80" s="24">
        <f t="shared" si="25"/>
        <v>-9288.49942224197</v>
      </c>
      <c r="I80" s="26">
        <f t="shared" si="26"/>
        <v>-4536.4717736052762</v>
      </c>
      <c r="J80" s="26">
        <f t="shared" si="27"/>
        <v>-1163.9636593749999</v>
      </c>
      <c r="K80" s="26">
        <f t="shared" si="28"/>
        <v>11906.564045145002</v>
      </c>
      <c r="L80" s="26"/>
      <c r="M80" s="25">
        <v>0.1</v>
      </c>
      <c r="N80" s="26">
        <f t="shared" si="22"/>
        <v>-3082.3708100772456</v>
      </c>
      <c r="O80" s="11">
        <f t="shared" si="23"/>
        <v>168</v>
      </c>
      <c r="P80" s="26">
        <f t="shared" si="20"/>
        <v>-3250.3708100772446</v>
      </c>
      <c r="Q80" s="26">
        <f t="shared" si="21"/>
        <v>-812.59270251931116</v>
      </c>
      <c r="R80" s="26">
        <f t="shared" si="24"/>
        <v>-2269.7781075579342</v>
      </c>
      <c r="S80" s="26">
        <f t="shared" si="29"/>
        <v>-342.43012489330061</v>
      </c>
    </row>
    <row r="81" spans="4:19" x14ac:dyDescent="0.3">
      <c r="D81" s="23">
        <v>9</v>
      </c>
      <c r="E81" s="26"/>
      <c r="F81" s="26"/>
      <c r="G81" s="26"/>
      <c r="H81" s="24">
        <f t="shared" si="25"/>
        <v>-11749.951769136092</v>
      </c>
      <c r="I81" s="26">
        <f t="shared" si="26"/>
        <v>-5489.1308460623841</v>
      </c>
      <c r="J81" s="26">
        <f t="shared" si="27"/>
        <v>-1280.3600253124998</v>
      </c>
      <c r="K81" s="26">
        <f t="shared" si="28"/>
        <v>14406.942494625453</v>
      </c>
      <c r="L81" s="26"/>
      <c r="M81" s="25">
        <v>0.1</v>
      </c>
      <c r="N81" s="26">
        <f t="shared" ref="N81:N87" si="30">SUM(H81:L81)</f>
        <v>-4112.500145885524</v>
      </c>
      <c r="O81" s="11">
        <f t="shared" si="23"/>
        <v>147</v>
      </c>
      <c r="P81" s="26">
        <f t="shared" si="20"/>
        <v>-4259.500145885524</v>
      </c>
      <c r="Q81" s="26">
        <f>$B$9*P81</f>
        <v>-1064.875036471381</v>
      </c>
      <c r="R81" s="26">
        <f t="shared" si="24"/>
        <v>-3047.625109414143</v>
      </c>
      <c r="S81" s="26">
        <f t="shared" si="29"/>
        <v>-373.19807646259744</v>
      </c>
    </row>
    <row r="82" spans="4:19" x14ac:dyDescent="0.3">
      <c r="D82" s="23">
        <v>10</v>
      </c>
      <c r="E82" s="26"/>
      <c r="F82" s="26"/>
      <c r="G82" s="26"/>
      <c r="H82" s="24">
        <f t="shared" si="25"/>
        <v>-14863.688987957157</v>
      </c>
      <c r="I82" s="26">
        <f t="shared" si="26"/>
        <v>-6641.848323735484</v>
      </c>
      <c r="J82" s="26">
        <f t="shared" si="27"/>
        <v>-1408.3960278437498</v>
      </c>
      <c r="K82" s="26">
        <f t="shared" si="28"/>
        <v>17432.4004184968</v>
      </c>
      <c r="L82" s="26"/>
      <c r="M82" s="25">
        <v>0.1</v>
      </c>
      <c r="N82" s="26">
        <f t="shared" si="30"/>
        <v>-5481.5329210395939</v>
      </c>
      <c r="O82" s="11">
        <f t="shared" si="23"/>
        <v>126</v>
      </c>
      <c r="P82" s="26">
        <f t="shared" si="20"/>
        <v>-5607.5329210395903</v>
      </c>
      <c r="Q82" s="26">
        <f t="shared" si="21"/>
        <v>-1401.8832302598976</v>
      </c>
      <c r="R82" s="26">
        <f t="shared" si="24"/>
        <v>-4079.6496907796964</v>
      </c>
      <c r="S82" s="26">
        <f t="shared" si="29"/>
        <v>-405.4992157986656</v>
      </c>
    </row>
    <row r="83" spans="4:19" x14ac:dyDescent="0.3">
      <c r="D83" s="23">
        <v>11</v>
      </c>
      <c r="E83" s="26"/>
      <c r="F83" s="26"/>
      <c r="G83" s="26"/>
      <c r="H83" s="24">
        <f t="shared" si="25"/>
        <v>-18802.566569765804</v>
      </c>
      <c r="I83" s="26">
        <f t="shared" si="26"/>
        <v>-8036.6364717199358</v>
      </c>
      <c r="J83" s="26">
        <f t="shared" si="27"/>
        <v>-1549.2356306281249</v>
      </c>
      <c r="K83" s="26">
        <f t="shared" si="28"/>
        <v>21093.204506381127</v>
      </c>
      <c r="L83" s="26"/>
      <c r="M83" s="25">
        <v>0.1</v>
      </c>
      <c r="N83" s="26">
        <f t="shared" si="30"/>
        <v>-7295.2341657327379</v>
      </c>
      <c r="O83" s="11">
        <f t="shared" si="23"/>
        <v>105</v>
      </c>
      <c r="P83" s="26">
        <f t="shared" si="20"/>
        <v>-7400.2341657327379</v>
      </c>
      <c r="Q83" s="26">
        <f t="shared" si="21"/>
        <v>-1850.0585414331845</v>
      </c>
      <c r="R83" s="26">
        <f t="shared" si="24"/>
        <v>-5445.1756242995534</v>
      </c>
      <c r="S83" s="26">
        <f t="shared" si="29"/>
        <v>-439.30720854143146</v>
      </c>
    </row>
    <row r="84" spans="4:19" x14ac:dyDescent="0.3">
      <c r="D84" s="23">
        <v>12</v>
      </c>
      <c r="E84" s="26"/>
      <c r="F84" s="26"/>
      <c r="G84" s="26"/>
      <c r="H84" s="24">
        <f t="shared" si="25"/>
        <v>-23785.246710753745</v>
      </c>
      <c r="I84" s="26">
        <f t="shared" si="26"/>
        <v>-9724.3301307811234</v>
      </c>
      <c r="J84" s="26">
        <f t="shared" si="27"/>
        <v>-1704.1591936909374</v>
      </c>
      <c r="K84" s="26">
        <f t="shared" si="28"/>
        <v>25522.777452721162</v>
      </c>
      <c r="L84" s="26"/>
      <c r="M84" s="25">
        <v>0.1</v>
      </c>
      <c r="N84" s="26">
        <f t="shared" si="30"/>
        <v>-9690.9585825046488</v>
      </c>
      <c r="O84" s="11">
        <f t="shared" si="23"/>
        <v>84</v>
      </c>
      <c r="P84" s="26">
        <f t="shared" si="20"/>
        <v>-9774.9585825046452</v>
      </c>
      <c r="Q84" s="26">
        <f t="shared" si="21"/>
        <v>-2443.7396456261613</v>
      </c>
      <c r="R84" s="26">
        <f t="shared" si="24"/>
        <v>-7247.2189368784875</v>
      </c>
      <c r="S84" s="26">
        <f t="shared" si="29"/>
        <v>-474.58839197283697</v>
      </c>
    </row>
    <row r="85" spans="4:19" x14ac:dyDescent="0.3">
      <c r="D85" s="23">
        <v>13</v>
      </c>
      <c r="E85" s="26"/>
      <c r="F85" s="26"/>
      <c r="G85" s="26"/>
      <c r="H85" s="24">
        <f>(15%*H84+H84)*10%+(15%*H84+H84)</f>
        <v>-30088.33708910349</v>
      </c>
      <c r="I85" s="26">
        <f t="shared" si="26"/>
        <v>-11766.43945824516</v>
      </c>
      <c r="J85" s="26">
        <f t="shared" si="27"/>
        <v>-1874.5751130600311</v>
      </c>
      <c r="K85" s="26">
        <f t="shared" si="28"/>
        <v>30882.560717792607</v>
      </c>
      <c r="L85" s="26"/>
      <c r="M85" s="25">
        <v>0.1</v>
      </c>
      <c r="N85" s="26">
        <f t="shared" si="30"/>
        <v>-12846.790942616077</v>
      </c>
      <c r="O85" s="11">
        <f t="shared" si="23"/>
        <v>63</v>
      </c>
      <c r="P85" s="26">
        <f t="shared" si="20"/>
        <v>-12909.790942616077</v>
      </c>
      <c r="Q85" s="26">
        <f t="shared" si="21"/>
        <v>-3227.4477356540192</v>
      </c>
      <c r="R85" s="26">
        <f t="shared" si="24"/>
        <v>-9619.3432069620576</v>
      </c>
      <c r="S85" s="26">
        <f t="shared" si="29"/>
        <v>-511.30547412830271</v>
      </c>
    </row>
    <row r="86" spans="4:19" x14ac:dyDescent="0.3">
      <c r="D86" s="23">
        <v>14</v>
      </c>
      <c r="E86" s="26"/>
      <c r="F86" s="26"/>
      <c r="G86" s="26"/>
      <c r="H86" s="24">
        <f t="shared" si="25"/>
        <v>-38061.746417715913</v>
      </c>
      <c r="I86" s="26">
        <f t="shared" si="26"/>
        <v>-14237.391744476645</v>
      </c>
      <c r="J86" s="26">
        <f t="shared" si="27"/>
        <v>-2062.0326243660343</v>
      </c>
      <c r="K86" s="26">
        <f t="shared" si="28"/>
        <v>37367.898468529049</v>
      </c>
      <c r="L86" s="26"/>
      <c r="M86" s="25">
        <v>0.1</v>
      </c>
      <c r="N86" s="26">
        <f t="shared" si="30"/>
        <v>-16993.272318029536</v>
      </c>
      <c r="O86" s="11">
        <f t="shared" si="23"/>
        <v>42</v>
      </c>
      <c r="P86" s="26">
        <f t="shared" si="20"/>
        <v>-17035.27231802954</v>
      </c>
      <c r="Q86" s="26">
        <f t="shared" si="21"/>
        <v>-4258.8180795073849</v>
      </c>
      <c r="R86" s="26">
        <f t="shared" si="24"/>
        <v>-12734.45423852215</v>
      </c>
      <c r="S86" s="26">
        <f t="shared" si="29"/>
        <v>-549.42023652265004</v>
      </c>
    </row>
    <row r="87" spans="4:19" x14ac:dyDescent="0.3">
      <c r="D87" s="23">
        <v>15</v>
      </c>
      <c r="E87" s="26"/>
      <c r="F87" s="26"/>
      <c r="G87" s="26"/>
      <c r="H87" s="24">
        <f t="shared" si="25"/>
        <v>-48148.109218410631</v>
      </c>
      <c r="I87" s="26">
        <f t="shared" si="26"/>
        <v>-17227.244010816739</v>
      </c>
      <c r="J87" s="26">
        <f>J86*10%+J86</f>
        <v>-2268.2358868026377</v>
      </c>
      <c r="K87" s="26">
        <f t="shared" si="28"/>
        <v>45215.157146920144</v>
      </c>
      <c r="L87" s="26">
        <f>10%*$G$5</f>
        <v>280</v>
      </c>
      <c r="M87" s="25">
        <v>0.1</v>
      </c>
      <c r="N87" s="26">
        <f t="shared" si="30"/>
        <v>-22148.431969109864</v>
      </c>
      <c r="O87" s="11">
        <f t="shared" si="23"/>
        <v>21</v>
      </c>
      <c r="P87" s="26">
        <f t="shared" si="20"/>
        <v>-22449.431969109861</v>
      </c>
      <c r="Q87" s="26">
        <f t="shared" si="21"/>
        <v>-5612.3579922774652</v>
      </c>
      <c r="R87" s="26">
        <f t="shared" si="24"/>
        <v>-16536.073976832398</v>
      </c>
      <c r="S87" s="26">
        <f t="shared" si="29"/>
        <v>-579.0899302794428</v>
      </c>
    </row>
    <row r="88" spans="4:19" x14ac:dyDescent="0.3">
      <c r="Q88" s="41" t="s">
        <v>62</v>
      </c>
      <c r="R88" s="42"/>
      <c r="S88" s="42"/>
    </row>
    <row r="89" spans="4:19" x14ac:dyDescent="0.3">
      <c r="D89" s="43"/>
      <c r="E89" s="43"/>
      <c r="F89" s="43"/>
      <c r="G89" s="43"/>
      <c r="H89" s="44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</row>
    <row r="90" spans="4:19" x14ac:dyDescent="0.3">
      <c r="H90" s="2"/>
    </row>
    <row r="92" spans="4:19" x14ac:dyDescent="0.3">
      <c r="E92" s="58" t="s">
        <v>51</v>
      </c>
      <c r="F92" s="58"/>
      <c r="G92" s="58"/>
      <c r="H92" s="58" t="s">
        <v>76</v>
      </c>
      <c r="I92" s="58"/>
      <c r="J92" s="58"/>
      <c r="K92" s="2" t="s">
        <v>40</v>
      </c>
      <c r="L92" s="2" t="s">
        <v>42</v>
      </c>
      <c r="M92" s="2" t="s">
        <v>78</v>
      </c>
      <c r="N92" s="2" t="s">
        <v>44</v>
      </c>
      <c r="O92" s="2" t="s">
        <v>54</v>
      </c>
      <c r="P92" s="2" t="s">
        <v>77</v>
      </c>
      <c r="Q92" s="2" t="s">
        <v>47</v>
      </c>
      <c r="R92" s="3" t="s">
        <v>48</v>
      </c>
      <c r="S92" s="3" t="s">
        <v>49</v>
      </c>
    </row>
    <row r="93" spans="4:19" x14ac:dyDescent="0.3">
      <c r="D93" s="2" t="s">
        <v>19</v>
      </c>
      <c r="E93" s="2" t="s">
        <v>20</v>
      </c>
      <c r="F93" s="2" t="s">
        <v>21</v>
      </c>
      <c r="G93" s="2" t="s">
        <v>22</v>
      </c>
      <c r="H93" s="24" t="s">
        <v>23</v>
      </c>
      <c r="I93" s="2" t="s">
        <v>24</v>
      </c>
      <c r="J93" s="2" t="s">
        <v>25</v>
      </c>
      <c r="K93"/>
      <c r="L93"/>
      <c r="M93"/>
      <c r="N93"/>
      <c r="O93"/>
      <c r="P93"/>
      <c r="Q93"/>
      <c r="R93"/>
      <c r="S93"/>
    </row>
    <row r="94" spans="4:19" x14ac:dyDescent="0.3">
      <c r="D94" s="23">
        <v>0</v>
      </c>
      <c r="E94" s="24">
        <f>-$E$5</f>
        <v>-262.5</v>
      </c>
      <c r="F94" s="24">
        <f>-$F$5</f>
        <v>-525</v>
      </c>
      <c r="G94" s="24">
        <f>-$G$5</f>
        <v>-2800</v>
      </c>
      <c r="I94" s="26"/>
      <c r="J94" s="26"/>
      <c r="K94" s="11"/>
      <c r="L94" s="11"/>
      <c r="N94" s="26">
        <f>SUM(E94:G94)</f>
        <v>-3587.5</v>
      </c>
      <c r="O94" s="11"/>
      <c r="P94" s="26">
        <f>K94+J94+I94+H94-O94</f>
        <v>0</v>
      </c>
      <c r="Q94" s="26">
        <v>0</v>
      </c>
      <c r="R94" s="26">
        <f>SUM(E94:G94)</f>
        <v>-3587.5</v>
      </c>
      <c r="S94" s="26">
        <f>-PV($B$10,D94,,R94)</f>
        <v>-3587.5</v>
      </c>
    </row>
    <row r="95" spans="4:19" x14ac:dyDescent="0.3">
      <c r="D95" s="23">
        <v>1</v>
      </c>
      <c r="E95" s="26"/>
      <c r="F95" s="26"/>
      <c r="G95" s="26"/>
      <c r="H95" s="24">
        <f>-3*B4</f>
        <v>-1500</v>
      </c>
      <c r="I95" s="26">
        <f>-2*$B$4</f>
        <v>-1000</v>
      </c>
      <c r="J95" s="26">
        <f>-$B$4</f>
        <v>-500</v>
      </c>
      <c r="K95" s="26">
        <v>0</v>
      </c>
      <c r="L95" s="26"/>
      <c r="M95" s="25">
        <v>0.15</v>
      </c>
      <c r="N95" s="26">
        <f>SUM(H95:L95)</f>
        <v>-3000</v>
      </c>
      <c r="O95" s="11">
        <f>DDB(-$G$94,$L$109,15,D95)</f>
        <v>373.33333333333331</v>
      </c>
      <c r="P95" s="26">
        <f>K95+J95+I95+H95-O95</f>
        <v>-3373.3333333333335</v>
      </c>
      <c r="Q95" s="26">
        <v>0</v>
      </c>
      <c r="R95" s="26">
        <f>N95-Q95</f>
        <v>-3000</v>
      </c>
      <c r="S95" s="26">
        <f>-PV($B$13,D95,,R95)</f>
        <v>-2329.1925465838508</v>
      </c>
    </row>
    <row r="96" spans="4:19" x14ac:dyDescent="0.3">
      <c r="D96" s="23">
        <v>2</v>
      </c>
      <c r="E96" s="26"/>
      <c r="F96" s="26"/>
      <c r="G96" s="26"/>
      <c r="H96" s="24">
        <f>(15%*H95+H95)*15%+(15%*H95+H95)</f>
        <v>-1983.75</v>
      </c>
      <c r="I96" s="26">
        <f>(10%*I95+I95)*15%+(10%*I95+I95)</f>
        <v>-1265</v>
      </c>
      <c r="J96" s="26">
        <f>J95*15%+J95</f>
        <v>-575</v>
      </c>
      <c r="K96" s="26">
        <v>0</v>
      </c>
      <c r="L96" s="26"/>
      <c r="M96" s="25">
        <v>0.15</v>
      </c>
      <c r="N96" s="26">
        <f t="shared" ref="N96:N102" si="31">SUM(H96:L96)</f>
        <v>-3823.75</v>
      </c>
      <c r="O96" s="11">
        <f t="shared" ref="O96:O109" si="32">DDB(-$G$94,$L$109,15,D96)</f>
        <v>323.5555555555556</v>
      </c>
      <c r="P96" s="26">
        <f t="shared" ref="P96:P107" si="33">K96+J96+I96+H96-O96</f>
        <v>-4147.3055555555557</v>
      </c>
      <c r="Q96" s="26">
        <v>0</v>
      </c>
      <c r="R96" s="26">
        <f t="shared" ref="R96:R109" si="34">N96-Q96</f>
        <v>-3823.75</v>
      </c>
      <c r="S96" s="26">
        <f>-PV($B$13,D96,,R96)</f>
        <v>-2304.9301242236024</v>
      </c>
    </row>
    <row r="97" spans="4:31" x14ac:dyDescent="0.3">
      <c r="D97" s="23">
        <v>3</v>
      </c>
      <c r="E97" s="26"/>
      <c r="F97" s="26"/>
      <c r="G97" s="26"/>
      <c r="H97" s="24">
        <f>(15%*H96+H96)*15%+(15%*H96+H96)</f>
        <v>-2623.5093750000001</v>
      </c>
      <c r="I97" s="26">
        <f>(10%*I96+I96)*15%+(10%*I96+I96)</f>
        <v>-1600.2249999999999</v>
      </c>
      <c r="J97" s="26">
        <f>J96*15%+J96</f>
        <v>-661.25</v>
      </c>
      <c r="K97" s="26">
        <v>4500</v>
      </c>
      <c r="L97" s="26"/>
      <c r="M97" s="25">
        <v>0.15</v>
      </c>
      <c r="N97" s="26">
        <f t="shared" si="31"/>
        <v>-384.984375</v>
      </c>
      <c r="O97" s="11">
        <f t="shared" si="32"/>
        <v>280.41481481481486</v>
      </c>
      <c r="P97" s="26">
        <f t="shared" si="33"/>
        <v>-665.39918981481492</v>
      </c>
      <c r="Q97" s="26">
        <f>$B$9*P97</f>
        <v>-166.34979745370373</v>
      </c>
      <c r="R97" s="26">
        <f t="shared" si="34"/>
        <v>-218.63457754629627</v>
      </c>
      <c r="S97" s="26">
        <f>-PV($B$13,D97,,R97)</f>
        <v>-102.32252735200669</v>
      </c>
    </row>
    <row r="98" spans="4:31" x14ac:dyDescent="0.3">
      <c r="D98" s="23">
        <v>4</v>
      </c>
      <c r="E98" s="26"/>
      <c r="F98" s="26"/>
      <c r="G98" s="26"/>
      <c r="H98" s="24">
        <f>(15%*H97+H97)*15%+(15%*H97+H97)</f>
        <v>-3469.5911484375001</v>
      </c>
      <c r="I98" s="26">
        <f>(10%*I97+I97)*15%+(10%*I97+I97)</f>
        <v>-2024.284625</v>
      </c>
      <c r="J98" s="26">
        <f>J97*15%+J97</f>
        <v>-760.4375</v>
      </c>
      <c r="K98" s="26">
        <f>(10%*K97+K97)*15%+(10%*K97+K97)</f>
        <v>5692.5</v>
      </c>
      <c r="L98" s="26"/>
      <c r="M98" s="25">
        <v>0.15</v>
      </c>
      <c r="N98" s="26">
        <f t="shared" si="31"/>
        <v>-561.81327343750036</v>
      </c>
      <c r="O98" s="11">
        <f t="shared" si="32"/>
        <v>243.02617283950622</v>
      </c>
      <c r="P98" s="26">
        <f t="shared" si="33"/>
        <v>-804.83944627700657</v>
      </c>
      <c r="Q98" s="26">
        <f t="shared" ref="Q98:Q104" si="35">$B$9*P98</f>
        <v>-201.20986156925164</v>
      </c>
      <c r="R98" s="26">
        <f t="shared" si="34"/>
        <v>-360.60341186824871</v>
      </c>
      <c r="S98" s="26">
        <f>-PV($B$13,D98,,R98)</f>
        <v>-131.02868407516286</v>
      </c>
    </row>
    <row r="99" spans="4:31" x14ac:dyDescent="0.3">
      <c r="D99" s="23">
        <v>5</v>
      </c>
      <c r="E99" s="26"/>
      <c r="F99" s="26"/>
      <c r="G99" s="26"/>
      <c r="H99" s="24">
        <f>(15%*H98+H98)*15%+(15%*H98+H98)</f>
        <v>-4588.5342938085942</v>
      </c>
      <c r="I99" s="26">
        <f>(10%*I98+I98)*15%+(10%*I98+I98)</f>
        <v>-2560.7200506250001</v>
      </c>
      <c r="J99" s="26">
        <f>J98*15%+J98</f>
        <v>-874.50312499999995</v>
      </c>
      <c r="K99" s="26">
        <f>(10%*K98+K98)*15%+(10%*K98+K98)</f>
        <v>7201.0124999999998</v>
      </c>
      <c r="L99" s="26"/>
      <c r="M99" s="25">
        <v>0.15</v>
      </c>
      <c r="N99" s="26">
        <f t="shared" si="31"/>
        <v>-822.74496943359463</v>
      </c>
      <c r="O99" s="11">
        <f t="shared" si="32"/>
        <v>210.62268312757203</v>
      </c>
      <c r="P99" s="26">
        <f t="shared" si="33"/>
        <v>-1033.3676525611668</v>
      </c>
      <c r="Q99" s="26">
        <f t="shared" si="35"/>
        <v>-258.34191314029169</v>
      </c>
      <c r="R99" s="26">
        <f t="shared" si="34"/>
        <v>-564.40305629330294</v>
      </c>
      <c r="S99" s="26">
        <f>-PV($B$13,D99,,R99)</f>
        <v>-159.22455423670314</v>
      </c>
    </row>
    <row r="100" spans="4:31" x14ac:dyDescent="0.3">
      <c r="D100" s="23">
        <v>6</v>
      </c>
      <c r="E100" s="26"/>
      <c r="F100" s="26"/>
      <c r="G100" s="26"/>
      <c r="H100" s="24">
        <f>(15%*H99+H99)*10%+(15%*H99+H99)</f>
        <v>-5804.4958816678718</v>
      </c>
      <c r="I100" s="26">
        <f>(10%*I99+I99)*10%+(10%*I99+I99)</f>
        <v>-3098.4712612562503</v>
      </c>
      <c r="J100" s="26">
        <f>J99*10%+J99</f>
        <v>-961.95343749999995</v>
      </c>
      <c r="K100" s="26">
        <f>(10%*K99+K99)*10%+(10%*K99+K99)</f>
        <v>8713.225124999999</v>
      </c>
      <c r="L100" s="26"/>
      <c r="M100" s="25">
        <v>0.1</v>
      </c>
      <c r="N100" s="26">
        <f t="shared" si="31"/>
        <v>-1151.6954554241238</v>
      </c>
      <c r="O100" s="11">
        <f t="shared" si="32"/>
        <v>182.53965871056243</v>
      </c>
      <c r="P100" s="26">
        <f t="shared" si="33"/>
        <v>-1334.2351141346862</v>
      </c>
      <c r="Q100" s="26">
        <f t="shared" si="35"/>
        <v>-333.55877853367156</v>
      </c>
      <c r="R100" s="26">
        <f t="shared" si="34"/>
        <v>-818.13667689045224</v>
      </c>
      <c r="S100" s="26">
        <f>-PV($B$13,5,,-PV($B$14,D95,,R100))</f>
        <v>-187.3422964287966</v>
      </c>
    </row>
    <row r="101" spans="4:31" x14ac:dyDescent="0.3">
      <c r="D101" s="23">
        <v>7</v>
      </c>
      <c r="E101" s="26"/>
      <c r="F101" s="26"/>
      <c r="G101" s="26"/>
      <c r="H101" s="24">
        <f t="shared" ref="H101:H109" si="36">(15%*H100+H100)*10%+(15%*H100+H100)</f>
        <v>-7342.6872903098583</v>
      </c>
      <c r="I101" s="26">
        <f t="shared" ref="I101:I109" si="37">(10%*I100+I100)*10%+(10%*I100+I100)</f>
        <v>-3749.1502261200631</v>
      </c>
      <c r="J101" s="26">
        <f t="shared" ref="J101:J108" si="38">J100*10%+J100</f>
        <v>-1058.14878125</v>
      </c>
      <c r="K101" s="26">
        <f t="shared" ref="K101:K109" si="39">(10%*K100+K100)*10%+(10%*K100+K100)</f>
        <v>10543.00240125</v>
      </c>
      <c r="L101" s="26"/>
      <c r="M101" s="25">
        <v>0.1</v>
      </c>
      <c r="N101" s="26">
        <f t="shared" si="31"/>
        <v>-1606.9838964299215</v>
      </c>
      <c r="O101" s="11">
        <f t="shared" si="32"/>
        <v>158.20103754915411</v>
      </c>
      <c r="P101" s="26">
        <f t="shared" si="33"/>
        <v>-1765.1849339790756</v>
      </c>
      <c r="Q101" s="26">
        <f t="shared" si="35"/>
        <v>-441.2962334947689</v>
      </c>
      <c r="R101" s="26">
        <f t="shared" si="34"/>
        <v>-1165.6876629351527</v>
      </c>
      <c r="S101" s="26">
        <f t="shared" ref="S101:S109" si="40">-PV($B$13,5,,-PV($B$14,D96,,R101))</f>
        <v>-216.66136221563659</v>
      </c>
    </row>
    <row r="102" spans="4:31" x14ac:dyDescent="0.3">
      <c r="D102" s="23">
        <v>8</v>
      </c>
      <c r="E102" s="26"/>
      <c r="F102" s="26"/>
      <c r="G102" s="26"/>
      <c r="H102" s="24">
        <f t="shared" si="36"/>
        <v>-9288.49942224197</v>
      </c>
      <c r="I102" s="26">
        <f t="shared" si="37"/>
        <v>-4536.4717736052762</v>
      </c>
      <c r="J102" s="26">
        <f t="shared" si="38"/>
        <v>-1163.9636593749999</v>
      </c>
      <c r="K102" s="26">
        <f t="shared" si="39"/>
        <v>12757.0329055125</v>
      </c>
      <c r="L102" s="26"/>
      <c r="M102" s="25">
        <v>0.1</v>
      </c>
      <c r="N102" s="26">
        <f t="shared" si="31"/>
        <v>-2231.901949709747</v>
      </c>
      <c r="O102" s="11">
        <f t="shared" si="32"/>
        <v>137.1075658759336</v>
      </c>
      <c r="P102" s="26">
        <f t="shared" si="33"/>
        <v>-2369.0095155856798</v>
      </c>
      <c r="Q102" s="26">
        <f t="shared" si="35"/>
        <v>-592.25237889641994</v>
      </c>
      <c r="R102" s="26">
        <f t="shared" si="34"/>
        <v>-1639.649570813327</v>
      </c>
      <c r="S102" s="26">
        <f t="shared" si="40"/>
        <v>-247.36576912310508</v>
      </c>
    </row>
    <row r="103" spans="4:31" x14ac:dyDescent="0.3">
      <c r="D103" s="23">
        <v>9</v>
      </c>
      <c r="E103" s="26"/>
      <c r="F103" s="26"/>
      <c r="G103" s="26"/>
      <c r="H103" s="24">
        <f t="shared" si="36"/>
        <v>-11749.951769136092</v>
      </c>
      <c r="I103" s="26">
        <f t="shared" si="37"/>
        <v>-5489.1308460623841</v>
      </c>
      <c r="J103" s="26">
        <f t="shared" si="38"/>
        <v>-1280.3600253124998</v>
      </c>
      <c r="K103" s="26">
        <f t="shared" si="39"/>
        <v>15436.009815670124</v>
      </c>
      <c r="L103" s="26"/>
      <c r="M103" s="25">
        <v>0.1</v>
      </c>
      <c r="N103" s="26">
        <f t="shared" ref="N103:N109" si="41">SUM(H103:L103)</f>
        <v>-3083.4328248408528</v>
      </c>
      <c r="O103" s="11">
        <f t="shared" si="32"/>
        <v>118.82655709247575</v>
      </c>
      <c r="P103" s="26">
        <f t="shared" si="33"/>
        <v>-3202.2593819333288</v>
      </c>
      <c r="Q103" s="26">
        <f t="shared" si="35"/>
        <v>-800.56484548333219</v>
      </c>
      <c r="R103" s="26">
        <f t="shared" si="34"/>
        <v>-2282.8679793575207</v>
      </c>
      <c r="S103" s="26">
        <f t="shared" si="40"/>
        <v>-279.54945510934556</v>
      </c>
    </row>
    <row r="104" spans="4:31" x14ac:dyDescent="0.3">
      <c r="D104" s="23">
        <v>10</v>
      </c>
      <c r="E104" s="26"/>
      <c r="F104" s="26"/>
      <c r="G104" s="26"/>
      <c r="H104" s="24">
        <f t="shared" si="36"/>
        <v>-14863.688987957157</v>
      </c>
      <c r="I104" s="26">
        <f t="shared" si="37"/>
        <v>-6641.848323735484</v>
      </c>
      <c r="J104" s="26">
        <f t="shared" si="38"/>
        <v>-1408.3960278437498</v>
      </c>
      <c r="K104" s="26">
        <f t="shared" si="39"/>
        <v>18677.57187696085</v>
      </c>
      <c r="L104" s="26"/>
      <c r="M104" s="25">
        <v>0.1</v>
      </c>
      <c r="N104" s="26">
        <f t="shared" si="41"/>
        <v>-4236.3614625755436</v>
      </c>
      <c r="O104" s="11">
        <f t="shared" si="32"/>
        <v>102.98301614681233</v>
      </c>
      <c r="P104" s="26">
        <f t="shared" si="33"/>
        <v>-4339.3444787223561</v>
      </c>
      <c r="Q104" s="26">
        <f t="shared" si="35"/>
        <v>-1084.836119680589</v>
      </c>
      <c r="R104" s="26">
        <f t="shared" si="34"/>
        <v>-3151.5253428949545</v>
      </c>
      <c r="S104" s="26">
        <f t="shared" si="40"/>
        <v>-313.24774232497555</v>
      </c>
    </row>
    <row r="105" spans="4:31" x14ac:dyDescent="0.3">
      <c r="D105" s="23">
        <v>11</v>
      </c>
      <c r="E105" s="26"/>
      <c r="F105" s="26"/>
      <c r="G105" s="26"/>
      <c r="H105" s="24">
        <f t="shared" si="36"/>
        <v>-18802.566569765804</v>
      </c>
      <c r="I105" s="26">
        <f t="shared" si="37"/>
        <v>-8036.6364717199358</v>
      </c>
      <c r="J105" s="26">
        <f t="shared" si="38"/>
        <v>-1549.2356306281249</v>
      </c>
      <c r="K105" s="26">
        <f t="shared" si="39"/>
        <v>22599.861971122631</v>
      </c>
      <c r="L105" s="26"/>
      <c r="M105" s="25">
        <v>0.1</v>
      </c>
      <c r="N105" s="26">
        <f t="shared" si="41"/>
        <v>-5788.5767009912342</v>
      </c>
      <c r="O105" s="11">
        <f t="shared" si="32"/>
        <v>89.251947327237346</v>
      </c>
      <c r="P105" s="26">
        <f t="shared" si="33"/>
        <v>-5877.828648318472</v>
      </c>
      <c r="Q105" s="26">
        <v>0</v>
      </c>
      <c r="R105" s="26">
        <f t="shared" si="34"/>
        <v>-5788.5767009912342</v>
      </c>
      <c r="S105" s="26">
        <f t="shared" si="40"/>
        <v>-467.01220445346883</v>
      </c>
    </row>
    <row r="106" spans="4:31" x14ac:dyDescent="0.3">
      <c r="D106" s="23">
        <v>12</v>
      </c>
      <c r="E106" s="26"/>
      <c r="F106" s="26"/>
      <c r="G106" s="26"/>
      <c r="H106" s="24">
        <f t="shared" si="36"/>
        <v>-23785.246710753745</v>
      </c>
      <c r="I106" s="26">
        <f t="shared" si="37"/>
        <v>-9724.3301307811234</v>
      </c>
      <c r="J106" s="26">
        <f t="shared" si="38"/>
        <v>-1704.1591936909374</v>
      </c>
      <c r="K106" s="26">
        <f t="shared" si="39"/>
        <v>27345.832985058383</v>
      </c>
      <c r="L106" s="26"/>
      <c r="M106" s="25">
        <v>0.1</v>
      </c>
      <c r="N106" s="26">
        <f t="shared" si="41"/>
        <v>-7867.9030501674279</v>
      </c>
      <c r="O106" s="11">
        <f t="shared" si="32"/>
        <v>77.351687683605704</v>
      </c>
      <c r="P106" s="26">
        <f t="shared" si="33"/>
        <v>-7945.2547378510299</v>
      </c>
      <c r="Q106" s="26">
        <v>0</v>
      </c>
      <c r="R106" s="26">
        <f t="shared" si="34"/>
        <v>-7867.9030501674279</v>
      </c>
      <c r="S106" s="26">
        <f t="shared" si="40"/>
        <v>-515.23425596763457</v>
      </c>
    </row>
    <row r="107" spans="4:31" x14ac:dyDescent="0.3">
      <c r="D107" s="23">
        <v>13</v>
      </c>
      <c r="E107" s="26"/>
      <c r="F107" s="26"/>
      <c r="G107" s="26"/>
      <c r="H107" s="24">
        <f t="shared" si="36"/>
        <v>-30088.33708910349</v>
      </c>
      <c r="I107" s="26">
        <f t="shared" si="37"/>
        <v>-11766.43945824516</v>
      </c>
      <c r="J107" s="26">
        <f t="shared" si="38"/>
        <v>-1874.5751130600311</v>
      </c>
      <c r="K107" s="26">
        <f t="shared" si="39"/>
        <v>33088.457911920639</v>
      </c>
      <c r="L107" s="26"/>
      <c r="M107" s="25">
        <v>0.1</v>
      </c>
      <c r="N107" s="26">
        <f t="shared" si="41"/>
        <v>-10640.893748488044</v>
      </c>
      <c r="O107" s="11">
        <f t="shared" si="32"/>
        <v>67.038129325791616</v>
      </c>
      <c r="P107" s="26">
        <f t="shared" si="33"/>
        <v>-10707.931877813837</v>
      </c>
      <c r="Q107" s="26">
        <v>0</v>
      </c>
      <c r="R107" s="26">
        <f t="shared" si="34"/>
        <v>-10640.893748488044</v>
      </c>
      <c r="S107" s="26">
        <f t="shared" si="40"/>
        <v>-565.60485535871078</v>
      </c>
    </row>
    <row r="108" spans="4:31" x14ac:dyDescent="0.3">
      <c r="D108" s="23">
        <v>14</v>
      </c>
      <c r="E108" s="26"/>
      <c r="F108" s="26"/>
      <c r="G108" s="26"/>
      <c r="H108" s="24">
        <f t="shared" si="36"/>
        <v>-38061.746417715913</v>
      </c>
      <c r="I108" s="26">
        <f t="shared" si="37"/>
        <v>-14237.391744476645</v>
      </c>
      <c r="J108" s="26">
        <f t="shared" si="38"/>
        <v>-2062.0326243660343</v>
      </c>
      <c r="K108" s="26">
        <f t="shared" si="39"/>
        <v>40037.034073423973</v>
      </c>
      <c r="L108" s="26"/>
      <c r="M108" s="25">
        <v>0.1</v>
      </c>
      <c r="N108" s="26">
        <f t="shared" si="41"/>
        <v>-14324.136713134612</v>
      </c>
      <c r="O108" s="11">
        <f t="shared" si="32"/>
        <v>58.099712082352738</v>
      </c>
      <c r="P108" s="26">
        <f>K108+J108+I108+H108-O108</f>
        <v>-14382.236425216968</v>
      </c>
      <c r="Q108" s="26">
        <v>0</v>
      </c>
      <c r="R108" s="26">
        <f t="shared" si="34"/>
        <v>-14324.136713134612</v>
      </c>
      <c r="S108" s="26">
        <f t="shared" si="40"/>
        <v>-618.00611423976613</v>
      </c>
    </row>
    <row r="109" spans="4:31" x14ac:dyDescent="0.3">
      <c r="D109" s="23">
        <v>15</v>
      </c>
      <c r="E109" s="26"/>
      <c r="F109" s="26"/>
      <c r="G109" s="26"/>
      <c r="H109" s="24">
        <f t="shared" si="36"/>
        <v>-48148.109218410631</v>
      </c>
      <c r="I109" s="26">
        <f t="shared" si="37"/>
        <v>-17227.244010816739</v>
      </c>
      <c r="J109" s="26">
        <f>J108*10%+J108</f>
        <v>-2268.2358868026377</v>
      </c>
      <c r="K109" s="26">
        <f t="shared" si="39"/>
        <v>48444.811228843013</v>
      </c>
      <c r="L109" s="26">
        <f>10%*$G$5</f>
        <v>280</v>
      </c>
      <c r="M109" s="25">
        <v>0.1</v>
      </c>
      <c r="N109" s="26">
        <f t="shared" si="41"/>
        <v>-18918.777887186996</v>
      </c>
      <c r="O109" s="11">
        <f t="shared" si="32"/>
        <v>50.353083804705705</v>
      </c>
      <c r="P109" s="26">
        <f>K109+J109+I109+H109-O109</f>
        <v>-19249.130970991697</v>
      </c>
      <c r="Q109" s="26">
        <v>0</v>
      </c>
      <c r="R109" s="26">
        <f t="shared" si="34"/>
        <v>-18918.777887186996</v>
      </c>
      <c r="S109" s="26">
        <f t="shared" si="40"/>
        <v>-662.53173413548166</v>
      </c>
    </row>
    <row r="110" spans="4:31" s="48" customFormat="1" x14ac:dyDescent="0.3">
      <c r="D110" s="23"/>
      <c r="E110" s="26"/>
      <c r="F110" s="26"/>
      <c r="G110" s="26"/>
      <c r="H110" s="24"/>
      <c r="I110" s="26"/>
      <c r="J110" s="26"/>
      <c r="K110" s="26"/>
      <c r="L110" s="26"/>
      <c r="M110" s="25"/>
      <c r="N110" s="26"/>
      <c r="O110" s="11"/>
      <c r="P110" s="26"/>
      <c r="Q110" s="26"/>
      <c r="R110" s="26"/>
      <c r="S110" s="26"/>
    </row>
    <row r="111" spans="4:31" x14ac:dyDescent="0.3">
      <c r="Q111" s="41" t="s">
        <v>62</v>
      </c>
      <c r="R111" s="42"/>
      <c r="S111" s="42"/>
    </row>
    <row r="112" spans="4:31" ht="14.4" customHeight="1" x14ac:dyDescent="0.3">
      <c r="D112" s="29"/>
      <c r="E112" s="29"/>
      <c r="F112" s="61"/>
      <c r="G112" s="61"/>
      <c r="H112" s="61"/>
      <c r="I112" s="61"/>
      <c r="J112" s="61"/>
      <c r="K112" s="61"/>
      <c r="L112" s="55" t="s">
        <v>50</v>
      </c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</row>
    <row r="113" spans="4:31" ht="28.8" customHeight="1" x14ac:dyDescent="0.3">
      <c r="D113" s="29"/>
      <c r="E113" s="29"/>
      <c r="F113" s="61"/>
      <c r="G113" s="61"/>
      <c r="H113" s="61"/>
      <c r="I113" s="61"/>
      <c r="J113" s="61"/>
      <c r="K113" s="61"/>
      <c r="L113" s="55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</row>
    <row r="114" spans="4:31" x14ac:dyDescent="0.3">
      <c r="H114" s="2"/>
    </row>
    <row r="115" spans="4:31" x14ac:dyDescent="0.3">
      <c r="H115" s="2"/>
    </row>
    <row r="116" spans="4:31" x14ac:dyDescent="0.3">
      <c r="H116" s="2"/>
    </row>
    <row r="117" spans="4:31" x14ac:dyDescent="0.3">
      <c r="H117" s="2"/>
    </row>
    <row r="118" spans="4:31" x14ac:dyDescent="0.3">
      <c r="H118" s="2"/>
    </row>
    <row r="119" spans="4:31" x14ac:dyDescent="0.3">
      <c r="H119" s="2"/>
    </row>
    <row r="120" spans="4:31" x14ac:dyDescent="0.3">
      <c r="H120" s="2"/>
    </row>
    <row r="121" spans="4:31" x14ac:dyDescent="0.3">
      <c r="H121" s="2"/>
    </row>
    <row r="122" spans="4:31" x14ac:dyDescent="0.3">
      <c r="H122" s="2"/>
    </row>
    <row r="123" spans="4:31" x14ac:dyDescent="0.3">
      <c r="H123" s="2"/>
    </row>
    <row r="124" spans="4:31" x14ac:dyDescent="0.3">
      <c r="H124" s="2"/>
    </row>
    <row r="125" spans="4:31" x14ac:dyDescent="0.3">
      <c r="H125" s="2"/>
    </row>
    <row r="126" spans="4:31" x14ac:dyDescent="0.3">
      <c r="H126" s="2"/>
    </row>
    <row r="127" spans="4:31" x14ac:dyDescent="0.3">
      <c r="H127" s="2"/>
    </row>
    <row r="128" spans="4:31" x14ac:dyDescent="0.3">
      <c r="H128" s="2"/>
    </row>
    <row r="129" spans="8:8" x14ac:dyDescent="0.3">
      <c r="H129" s="2"/>
    </row>
    <row r="130" spans="8:8" x14ac:dyDescent="0.3">
      <c r="H130" s="2"/>
    </row>
    <row r="131" spans="8:8" x14ac:dyDescent="0.3">
      <c r="H131" s="2"/>
    </row>
    <row r="132" spans="8:8" x14ac:dyDescent="0.3">
      <c r="H132" s="2"/>
    </row>
    <row r="133" spans="8:8" x14ac:dyDescent="0.3">
      <c r="H133" s="2"/>
    </row>
    <row r="134" spans="8:8" x14ac:dyDescent="0.3">
      <c r="H134" s="2"/>
    </row>
    <row r="135" spans="8:8" x14ac:dyDescent="0.3">
      <c r="H135" s="2"/>
    </row>
    <row r="136" spans="8:8" x14ac:dyDescent="0.3">
      <c r="H136" s="2"/>
    </row>
    <row r="137" spans="8:8" x14ac:dyDescent="0.3">
      <c r="H137" s="2"/>
    </row>
    <row r="138" spans="8:8" x14ac:dyDescent="0.3">
      <c r="H138" s="2"/>
    </row>
    <row r="139" spans="8:8" x14ac:dyDescent="0.3">
      <c r="H139" s="2"/>
    </row>
    <row r="140" spans="8:8" x14ac:dyDescent="0.3">
      <c r="H140" s="2"/>
    </row>
    <row r="141" spans="8:8" x14ac:dyDescent="0.3">
      <c r="H141" s="2"/>
    </row>
    <row r="142" spans="8:8" x14ac:dyDescent="0.3">
      <c r="H142" s="2"/>
    </row>
    <row r="143" spans="8:8" x14ac:dyDescent="0.3">
      <c r="H143" s="2"/>
    </row>
    <row r="144" spans="8:8" x14ac:dyDescent="0.3">
      <c r="H144" s="2"/>
    </row>
    <row r="145" spans="8:8" x14ac:dyDescent="0.3">
      <c r="H145" s="2"/>
    </row>
    <row r="146" spans="8:8" x14ac:dyDescent="0.3">
      <c r="H146" s="2"/>
    </row>
    <row r="147" spans="8:8" x14ac:dyDescent="0.3">
      <c r="H147" s="2"/>
    </row>
    <row r="148" spans="8:8" x14ac:dyDescent="0.3">
      <c r="H148" s="2"/>
    </row>
    <row r="149" spans="8:8" x14ac:dyDescent="0.3">
      <c r="H149" s="2"/>
    </row>
    <row r="150" spans="8:8" x14ac:dyDescent="0.3">
      <c r="H150" s="2"/>
    </row>
    <row r="151" spans="8:8" x14ac:dyDescent="0.3">
      <c r="H151" s="2"/>
    </row>
    <row r="152" spans="8:8" x14ac:dyDescent="0.3">
      <c r="H152" s="2"/>
    </row>
    <row r="153" spans="8:8" x14ac:dyDescent="0.3">
      <c r="H153" s="2"/>
    </row>
    <row r="154" spans="8:8" x14ac:dyDescent="0.3">
      <c r="H154" s="2"/>
    </row>
    <row r="155" spans="8:8" x14ac:dyDescent="0.3">
      <c r="H155" s="2"/>
    </row>
    <row r="156" spans="8:8" x14ac:dyDescent="0.3">
      <c r="H156" s="2"/>
    </row>
    <row r="157" spans="8:8" x14ac:dyDescent="0.3">
      <c r="H157" s="2"/>
    </row>
    <row r="158" spans="8:8" x14ac:dyDescent="0.3">
      <c r="H158" s="2"/>
    </row>
    <row r="159" spans="8:8" x14ac:dyDescent="0.3">
      <c r="H159" s="2"/>
    </row>
    <row r="160" spans="8:8" x14ac:dyDescent="0.3">
      <c r="H160" s="2"/>
    </row>
    <row r="161" spans="8:8" x14ac:dyDescent="0.3">
      <c r="H161" s="2"/>
    </row>
    <row r="162" spans="8:8" x14ac:dyDescent="0.3">
      <c r="H162" s="2"/>
    </row>
    <row r="163" spans="8:8" x14ac:dyDescent="0.3">
      <c r="H163" s="2"/>
    </row>
    <row r="164" spans="8:8" x14ac:dyDescent="0.3">
      <c r="H164" s="2"/>
    </row>
    <row r="165" spans="8:8" x14ac:dyDescent="0.3">
      <c r="H165" s="2"/>
    </row>
    <row r="166" spans="8:8" x14ac:dyDescent="0.3">
      <c r="H166" s="2"/>
    </row>
    <row r="167" spans="8:8" x14ac:dyDescent="0.3">
      <c r="H167" s="2"/>
    </row>
    <row r="168" spans="8:8" x14ac:dyDescent="0.3">
      <c r="H168" s="2"/>
    </row>
    <row r="169" spans="8:8" x14ac:dyDescent="0.3">
      <c r="H169" s="2"/>
    </row>
    <row r="170" spans="8:8" x14ac:dyDescent="0.3">
      <c r="H170" s="2"/>
    </row>
    <row r="171" spans="8:8" x14ac:dyDescent="0.3">
      <c r="H171" s="2"/>
    </row>
    <row r="172" spans="8:8" x14ac:dyDescent="0.3">
      <c r="H172" s="2"/>
    </row>
    <row r="173" spans="8:8" x14ac:dyDescent="0.3">
      <c r="H173" s="2"/>
    </row>
    <row r="174" spans="8:8" x14ac:dyDescent="0.3">
      <c r="H174" s="2"/>
    </row>
    <row r="175" spans="8:8" x14ac:dyDescent="0.3">
      <c r="H175" s="2"/>
    </row>
    <row r="176" spans="8:8" x14ac:dyDescent="0.3">
      <c r="H176" s="2"/>
    </row>
    <row r="177" spans="4:31" x14ac:dyDescent="0.3">
      <c r="H177" s="2"/>
    </row>
    <row r="178" spans="4:31" x14ac:dyDescent="0.3">
      <c r="H178" s="2"/>
    </row>
    <row r="179" spans="4:31" x14ac:dyDescent="0.3">
      <c r="H179" s="2"/>
    </row>
    <row r="180" spans="4:31" x14ac:dyDescent="0.3">
      <c r="H180" s="2"/>
    </row>
    <row r="181" spans="4:31" x14ac:dyDescent="0.3">
      <c r="H181" s="2"/>
    </row>
    <row r="182" spans="4:31" x14ac:dyDescent="0.3">
      <c r="H182" s="2"/>
    </row>
    <row r="183" spans="4:31" x14ac:dyDescent="0.3">
      <c r="H183" s="2"/>
    </row>
    <row r="184" spans="4:31" x14ac:dyDescent="0.3">
      <c r="H184" s="2"/>
    </row>
    <row r="185" spans="4:31" x14ac:dyDescent="0.3">
      <c r="H185" s="2"/>
    </row>
    <row r="186" spans="4:31" x14ac:dyDescent="0.3">
      <c r="H186" s="2"/>
    </row>
    <row r="187" spans="4:31" x14ac:dyDescent="0.3">
      <c r="D187" s="29"/>
      <c r="E187" s="29"/>
      <c r="F187" s="29"/>
      <c r="G187" s="29"/>
      <c r="H187" s="29"/>
      <c r="I187" s="29"/>
      <c r="J187" s="29"/>
      <c r="K187" s="29"/>
      <c r="L187" s="60" t="s">
        <v>55</v>
      </c>
      <c r="M187" s="60"/>
      <c r="N187" s="60"/>
      <c r="O187" s="60"/>
      <c r="P187" s="60"/>
      <c r="Q187" s="60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</row>
    <row r="188" spans="4:31" ht="28.8" customHeight="1" x14ac:dyDescent="0.3">
      <c r="D188" s="29"/>
      <c r="E188" s="29"/>
      <c r="F188" s="29"/>
      <c r="G188" s="29"/>
      <c r="H188" s="29"/>
      <c r="I188" s="29"/>
      <c r="J188" s="29"/>
      <c r="K188" s="29"/>
      <c r="L188" s="60"/>
      <c r="M188" s="60"/>
      <c r="N188" s="60"/>
      <c r="O188" s="60"/>
      <c r="P188" s="60"/>
      <c r="Q188" s="60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</row>
    <row r="189" spans="4:31" x14ac:dyDescent="0.3">
      <c r="H189" s="2"/>
    </row>
    <row r="190" spans="4:31" ht="14.4" customHeight="1" x14ac:dyDescent="0.3"/>
    <row r="191" spans="4:31" ht="15" customHeight="1" x14ac:dyDescent="0.3"/>
    <row r="194" spans="4:13" ht="36" x14ac:dyDescent="0.3">
      <c r="D194" s="34" t="s">
        <v>65</v>
      </c>
      <c r="E194" s="35" t="s">
        <v>66</v>
      </c>
      <c r="F194" s="2" t="s">
        <v>69</v>
      </c>
      <c r="K194" s="34" t="s">
        <v>65</v>
      </c>
      <c r="L194" s="36" t="s">
        <v>72</v>
      </c>
      <c r="M194" s="2" t="s">
        <v>68</v>
      </c>
    </row>
    <row r="195" spans="4:13" x14ac:dyDescent="0.3">
      <c r="E195" s="2" t="s">
        <v>67</v>
      </c>
      <c r="F195" s="26">
        <f>SUM(S51:S66)</f>
        <v>-13368.588888849599</v>
      </c>
      <c r="L195" s="2" t="s">
        <v>64</v>
      </c>
      <c r="M195" s="26">
        <f>F195</f>
        <v>-13368.588888849599</v>
      </c>
    </row>
    <row r="196" spans="4:13" x14ac:dyDescent="0.3">
      <c r="D196" s="25">
        <v>-0.5</v>
      </c>
      <c r="E196" s="2">
        <v>2250</v>
      </c>
      <c r="F196" s="26">
        <v>-23325.351424140001</v>
      </c>
      <c r="K196" s="25">
        <v>-0.5</v>
      </c>
      <c r="L196" s="26">
        <v>-300</v>
      </c>
      <c r="M196" s="26">
        <v>6095.8127147214</v>
      </c>
    </row>
    <row r="197" spans="4:13" ht="14.4" customHeight="1" x14ac:dyDescent="0.3">
      <c r="D197" s="25">
        <v>-0.25</v>
      </c>
      <c r="E197" s="2">
        <v>3375</v>
      </c>
      <c r="F197" s="26">
        <v>-18293.6105013212</v>
      </c>
      <c r="K197" s="25">
        <v>-0.25</v>
      </c>
      <c r="L197" s="26">
        <v>-600</v>
      </c>
      <c r="M197" s="26">
        <v>1033.4321412423401</v>
      </c>
    </row>
    <row r="198" spans="4:13" ht="15" customHeight="1" x14ac:dyDescent="0.3">
      <c r="D198" s="2">
        <v>0</v>
      </c>
      <c r="E198" s="2">
        <v>4500</v>
      </c>
      <c r="F198" s="26">
        <f>SUM(S51:S66)</f>
        <v>-13368.588888849599</v>
      </c>
      <c r="K198" s="2">
        <v>0</v>
      </c>
      <c r="L198" s="26">
        <v>-1200</v>
      </c>
      <c r="M198" s="26">
        <f>F195</f>
        <v>-13368.588888849599</v>
      </c>
    </row>
    <row r="199" spans="4:13" x14ac:dyDescent="0.3">
      <c r="D199" s="25">
        <v>0.25</v>
      </c>
      <c r="E199" s="2">
        <v>5625</v>
      </c>
      <c r="F199" s="26">
        <v>-8012.2255253575104</v>
      </c>
      <c r="K199" s="25">
        <v>0.25</v>
      </c>
      <c r="L199" s="26">
        <v>-1500</v>
      </c>
      <c r="M199" s="26">
        <v>-15621.9123124241</v>
      </c>
    </row>
    <row r="200" spans="4:13" x14ac:dyDescent="0.3">
      <c r="D200" s="25">
        <v>0.5</v>
      </c>
      <c r="E200" s="2">
        <v>6750</v>
      </c>
      <c r="F200" s="26">
        <v>-2955.4669655279899</v>
      </c>
      <c r="K200" s="25">
        <v>0.5</v>
      </c>
      <c r="L200" s="26">
        <v>-1800</v>
      </c>
      <c r="M200" s="26">
        <v>-19363.268165713202</v>
      </c>
    </row>
    <row r="220" spans="4:6" ht="18" x14ac:dyDescent="0.3">
      <c r="D220" s="34" t="s">
        <v>65</v>
      </c>
      <c r="E220" s="35" t="s">
        <v>73</v>
      </c>
      <c r="F220" s="2" t="s">
        <v>63</v>
      </c>
    </row>
    <row r="221" spans="4:6" x14ac:dyDescent="0.3">
      <c r="E221" s="2" t="s">
        <v>64</v>
      </c>
      <c r="F221" s="26">
        <f>SUM(S51:S66)</f>
        <v>-13368.588888849599</v>
      </c>
    </row>
    <row r="222" spans="4:6" x14ac:dyDescent="0.3">
      <c r="D222" s="25">
        <v>-0.6</v>
      </c>
      <c r="E222" s="23">
        <v>6</v>
      </c>
      <c r="F222" s="26">
        <v>-8951.5973926084298</v>
      </c>
    </row>
    <row r="223" spans="4:6" x14ac:dyDescent="0.3">
      <c r="D223" s="25">
        <v>-0.4</v>
      </c>
      <c r="E223" s="23">
        <v>9</v>
      </c>
      <c r="F223" s="26">
        <v>-10122.886627960899</v>
      </c>
    </row>
    <row r="224" spans="4:6" x14ac:dyDescent="0.3">
      <c r="D224" s="25">
        <v>-0.2</v>
      </c>
      <c r="E224" s="23">
        <v>12</v>
      </c>
      <c r="F224" s="26">
        <v>-12421.912312412</v>
      </c>
    </row>
    <row r="225" spans="4:13" ht="15.6" x14ac:dyDescent="0.3">
      <c r="D225" s="2">
        <v>0</v>
      </c>
      <c r="E225" s="23">
        <v>15</v>
      </c>
      <c r="F225" s="26">
        <f>SUM(S51:S66)</f>
        <v>-13368.588888849599</v>
      </c>
      <c r="K225" s="34" t="s">
        <v>65</v>
      </c>
      <c r="L225" s="36" t="s">
        <v>74</v>
      </c>
      <c r="M225" s="2" t="s">
        <v>68</v>
      </c>
    </row>
    <row r="226" spans="4:13" x14ac:dyDescent="0.3">
      <c r="D226" s="25">
        <v>0.2</v>
      </c>
      <c r="E226" s="23">
        <v>18</v>
      </c>
      <c r="F226" s="26">
        <v>-14923.175863312999</v>
      </c>
      <c r="L226" s="2" t="s">
        <v>64</v>
      </c>
      <c r="M226" s="26">
        <f>F195</f>
        <v>-13368.588888849599</v>
      </c>
    </row>
    <row r="227" spans="4:13" x14ac:dyDescent="0.3">
      <c r="D227" s="25">
        <v>0.4</v>
      </c>
      <c r="E227" s="23">
        <v>21</v>
      </c>
      <c r="F227" s="26">
        <v>-15932.360039792</v>
      </c>
      <c r="K227" s="25">
        <v>-0.5</v>
      </c>
      <c r="L227" s="25">
        <v>0.06</v>
      </c>
      <c r="M227" s="26">
        <v>-16829.923141514999</v>
      </c>
    </row>
    <row r="228" spans="4:13" x14ac:dyDescent="0.3">
      <c r="D228" s="25">
        <v>0.6</v>
      </c>
      <c r="E228" s="23">
        <v>24</v>
      </c>
      <c r="F228" s="26">
        <v>-17011.998172151601</v>
      </c>
      <c r="K228" s="25">
        <v>-0.25</v>
      </c>
      <c r="L228" s="25">
        <v>0.09</v>
      </c>
      <c r="M228" s="26">
        <v>-14993.3661087037</v>
      </c>
    </row>
    <row r="229" spans="4:13" x14ac:dyDescent="0.3">
      <c r="D229" s="25">
        <v>0.8</v>
      </c>
      <c r="E229" s="23">
        <v>27</v>
      </c>
      <c r="F229" s="26">
        <v>-17897.9389417643</v>
      </c>
      <c r="K229" s="2">
        <v>0</v>
      </c>
      <c r="L229" s="25">
        <v>0.12</v>
      </c>
      <c r="M229" s="26">
        <f>F195</f>
        <v>-13368.588888849599</v>
      </c>
    </row>
    <row r="230" spans="4:13" x14ac:dyDescent="0.3">
      <c r="K230" s="25">
        <v>0.25</v>
      </c>
      <c r="L230" s="25">
        <v>0.15</v>
      </c>
      <c r="M230" s="26">
        <v>-12023.5537811596</v>
      </c>
    </row>
    <row r="231" spans="4:13" x14ac:dyDescent="0.3">
      <c r="K231" s="25">
        <v>0.5</v>
      </c>
      <c r="L231" s="25">
        <v>0.18</v>
      </c>
      <c r="M231" s="26">
        <v>-10702.9829713253</v>
      </c>
    </row>
    <row r="248" spans="4:6" ht="15.6" x14ac:dyDescent="0.3">
      <c r="D248" s="34" t="s">
        <v>65</v>
      </c>
      <c r="E248" s="36" t="s">
        <v>30</v>
      </c>
      <c r="F248" s="2" t="s">
        <v>63</v>
      </c>
    </row>
    <row r="249" spans="4:6" x14ac:dyDescent="0.3">
      <c r="E249" s="2" t="s">
        <v>64</v>
      </c>
      <c r="F249" s="26">
        <f>SUM(S51:S66)</f>
        <v>-13368.588888849599</v>
      </c>
    </row>
    <row r="250" spans="4:6" x14ac:dyDescent="0.3">
      <c r="D250" s="25">
        <v>-0.5</v>
      </c>
      <c r="E250" s="11">
        <v>150</v>
      </c>
      <c r="F250" s="26">
        <v>-13748.1709855792</v>
      </c>
    </row>
    <row r="251" spans="4:6" x14ac:dyDescent="0.3">
      <c r="D251" s="45">
        <v>-0.33200000000000002</v>
      </c>
      <c r="E251" s="11">
        <v>200</v>
      </c>
      <c r="F251" s="26">
        <v>-13489.419995800499</v>
      </c>
    </row>
    <row r="252" spans="4:6" x14ac:dyDescent="0.3">
      <c r="D252" s="45">
        <v>-0.16600000000000001</v>
      </c>
      <c r="E252" s="11">
        <v>250</v>
      </c>
      <c r="F252" s="26">
        <v>-13413.669006021701</v>
      </c>
    </row>
    <row r="253" spans="4:6" x14ac:dyDescent="0.3">
      <c r="D253" s="2">
        <v>0</v>
      </c>
      <c r="E253" s="11">
        <v>300</v>
      </c>
      <c r="F253" s="26">
        <f>SUM(S51:S66)</f>
        <v>-13368.588888849599</v>
      </c>
    </row>
    <row r="254" spans="4:6" x14ac:dyDescent="0.3">
      <c r="D254" s="45">
        <v>0.16600000000000001</v>
      </c>
      <c r="E254" s="11">
        <v>350</v>
      </c>
      <c r="F254" s="26">
        <v>-13301.412412421399</v>
      </c>
    </row>
    <row r="255" spans="4:6" x14ac:dyDescent="0.3">
      <c r="D255" s="45">
        <v>0.33200000000000002</v>
      </c>
      <c r="E255" s="11">
        <v>400</v>
      </c>
      <c r="F255" s="26">
        <v>-13261.412412421399</v>
      </c>
    </row>
    <row r="256" spans="4:6" x14ac:dyDescent="0.3">
      <c r="D256" s="25">
        <v>0.5</v>
      </c>
      <c r="E256" s="11">
        <v>450</v>
      </c>
      <c r="F256" s="26">
        <v>-13151.412412421399</v>
      </c>
    </row>
    <row r="303" spans="4:31" ht="14.4" customHeight="1" x14ac:dyDescent="0.3">
      <c r="D303" s="29"/>
      <c r="E303" s="29"/>
      <c r="F303" s="59" t="s">
        <v>56</v>
      </c>
      <c r="G303" s="59"/>
      <c r="H303" s="59"/>
      <c r="I303" s="59"/>
      <c r="J303" s="59"/>
      <c r="K303" s="5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</row>
    <row r="304" spans="4:31" ht="28.8" customHeight="1" x14ac:dyDescent="0.3">
      <c r="D304" s="29"/>
      <c r="E304" s="29"/>
      <c r="F304" s="59"/>
      <c r="G304" s="59"/>
      <c r="H304" s="59"/>
      <c r="I304" s="59"/>
      <c r="J304" s="59"/>
      <c r="K304" s="5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</row>
    <row r="306" spans="8:13" ht="34.200000000000003" x14ac:dyDescent="0.3">
      <c r="H306" s="37" t="s">
        <v>70</v>
      </c>
      <c r="I306" s="37" t="e">
        <f>IRR(V52:V67)</f>
        <v>#NUM!</v>
      </c>
      <c r="J306" s="46"/>
      <c r="K306" s="47"/>
      <c r="L306" s="47" t="s">
        <v>71</v>
      </c>
      <c r="M306" s="42"/>
    </row>
  </sheetData>
  <mergeCells count="15">
    <mergeCell ref="F303:K304"/>
    <mergeCell ref="L187:Q188"/>
    <mergeCell ref="F112:K113"/>
    <mergeCell ref="F46:K47"/>
    <mergeCell ref="F23:K24"/>
    <mergeCell ref="E92:G92"/>
    <mergeCell ref="H92:J92"/>
    <mergeCell ref="L112:L113"/>
    <mergeCell ref="F2:K2"/>
    <mergeCell ref="E3:G3"/>
    <mergeCell ref="H3:J3"/>
    <mergeCell ref="E70:G70"/>
    <mergeCell ref="H70:J70"/>
    <mergeCell ref="E49:G49"/>
    <mergeCell ref="H49:J49"/>
  </mergeCells>
  <pageMargins left="0.7" right="0.7" top="0.75" bottom="0.75" header="0.3" footer="0.3"/>
  <pageSetup orientation="portrait" r:id="rId1"/>
  <ignoredErrors>
    <ignoredError sqref="J31:J42 J9:J20 J55:J66 J76:J87 J98:J10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Name &amp; Family Name</vt:lpstr>
      <vt:lpstr>Part A</vt:lpstr>
      <vt:lpstr>Part B,C,D,E,F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2020-01-10T14:09:46Z</dcterms:modified>
</cp:coreProperties>
</file>