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19440" windowHeight="12120" activeTab="9"/>
  </bookViews>
  <sheets>
    <sheet name="120Cracks" sheetId="5" r:id="rId1"/>
    <sheet name="95Cracks" sheetId="20" r:id="rId2"/>
    <sheet name="7specimen" sheetId="21" r:id="rId3"/>
    <sheet name="5specimen" sheetId="22" r:id="rId4"/>
    <sheet name="2specimen" sheetId="23" r:id="rId5"/>
    <sheet name="2meter" sheetId="24" r:id="rId6"/>
    <sheet name="low_a_d" sheetId="25" r:id="rId7"/>
    <sheet name="simpletable" sheetId="19" r:id="rId8"/>
    <sheet name="Sheet1" sheetId="26" r:id="rId9"/>
    <sheet name="shearstrength" sheetId="27" r:id="rId10"/>
  </sheets>
  <calcPr calcId="145621"/>
</workbook>
</file>

<file path=xl/calcChain.xml><?xml version="1.0" encoding="utf-8"?>
<calcChain xmlns="http://schemas.openxmlformats.org/spreadsheetml/2006/main">
  <c r="T3" i="25" l="1"/>
  <c r="T4" i="25"/>
  <c r="T5" i="25"/>
  <c r="T6" i="25"/>
  <c r="T7" i="25"/>
  <c r="T8" i="25"/>
  <c r="T9" i="25"/>
  <c r="T10" i="25"/>
  <c r="T11" i="25"/>
  <c r="T12" i="25"/>
  <c r="T13" i="25"/>
  <c r="T2" i="25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" i="24"/>
  <c r="T3" i="23"/>
  <c r="T4" i="23"/>
  <c r="T5" i="23"/>
  <c r="T6" i="23"/>
  <c r="T7" i="23"/>
  <c r="T8" i="23"/>
  <c r="T9" i="23"/>
  <c r="T10" i="23"/>
  <c r="T11" i="23"/>
  <c r="T12" i="23"/>
  <c r="T2" i="23"/>
  <c r="T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2" i="21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2" i="20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AK2" i="24"/>
  <c r="H2" i="24" s="1"/>
  <c r="C46" i="27" l="1"/>
  <c r="C45" i="27"/>
  <c r="C44" i="27"/>
  <c r="C43" i="27"/>
  <c r="C42" i="27"/>
  <c r="C41" i="27"/>
  <c r="D15" i="27"/>
  <c r="D14" i="27"/>
  <c r="D13" i="27"/>
  <c r="D12" i="27"/>
  <c r="D11" i="27"/>
  <c r="D9" i="27"/>
  <c r="D10" i="27"/>
  <c r="D8" i="27"/>
  <c r="C7" i="27"/>
  <c r="C6" i="27"/>
  <c r="C5" i="27"/>
  <c r="C4" i="27"/>
  <c r="C3" i="27"/>
  <c r="W7" i="23" l="1"/>
  <c r="G25" i="21" l="1"/>
  <c r="G16" i="21"/>
  <c r="G17" i="21"/>
  <c r="G18" i="21"/>
  <c r="G19" i="21"/>
  <c r="G20" i="21"/>
  <c r="G21" i="21"/>
  <c r="G22" i="21"/>
  <c r="G23" i="21"/>
  <c r="G24" i="21"/>
  <c r="G15" i="21"/>
  <c r="G14" i="21"/>
  <c r="G13" i="21"/>
  <c r="G2" i="25"/>
  <c r="W27" i="21" l="1"/>
  <c r="W26" i="21"/>
  <c r="T2" i="26"/>
  <c r="T3" i="26"/>
  <c r="T4" i="26"/>
  <c r="T5" i="26"/>
  <c r="T6" i="26"/>
  <c r="T7" i="26"/>
  <c r="T8" i="26"/>
  <c r="T9" i="26"/>
  <c r="T10" i="26"/>
  <c r="T11" i="26"/>
  <c r="T12" i="26"/>
  <c r="T1" i="26"/>
  <c r="W31" i="5"/>
  <c r="W32" i="5"/>
  <c r="W33" i="5"/>
  <c r="W34" i="5"/>
  <c r="W35" i="5"/>
  <c r="W36" i="5"/>
  <c r="W37" i="5"/>
  <c r="W38" i="5"/>
  <c r="W39" i="5"/>
  <c r="Q2" i="26"/>
  <c r="Q3" i="26"/>
  <c r="Q4" i="26"/>
  <c r="Q5" i="26"/>
  <c r="Q6" i="26"/>
  <c r="Q7" i="26"/>
  <c r="Q8" i="26"/>
  <c r="Q9" i="26"/>
  <c r="Q10" i="26"/>
  <c r="Q11" i="26"/>
  <c r="Q1" i="26"/>
  <c r="N24" i="26"/>
  <c r="N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1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9" i="26"/>
  <c r="H10" i="26"/>
  <c r="H11" i="26"/>
  <c r="H12" i="26"/>
  <c r="H13" i="26"/>
  <c r="H14" i="26"/>
  <c r="H15" i="26"/>
  <c r="H16" i="26"/>
  <c r="H17" i="26"/>
  <c r="H18" i="26"/>
  <c r="H19" i="26"/>
  <c r="H9" i="26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1" i="26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1" i="26"/>
  <c r="W9" i="25" l="1"/>
  <c r="W10" i="25"/>
  <c r="W8" i="25"/>
  <c r="W7" i="25"/>
  <c r="G5" i="25"/>
  <c r="S5" i="25" s="1"/>
  <c r="I5" i="25"/>
  <c r="J5" i="25"/>
  <c r="K5" i="25"/>
  <c r="L5" i="25"/>
  <c r="N5" i="25"/>
  <c r="P5" i="25"/>
  <c r="Q5" i="25"/>
  <c r="R5" i="25"/>
  <c r="U5" i="25"/>
  <c r="V5" i="25"/>
  <c r="X5" i="25"/>
  <c r="G6" i="25"/>
  <c r="M6" i="25" s="1"/>
  <c r="H6" i="25"/>
  <c r="K6" i="25"/>
  <c r="L6" i="25"/>
  <c r="O6" i="25"/>
  <c r="P6" i="25"/>
  <c r="V6" i="25"/>
  <c r="X6" i="25"/>
  <c r="G7" i="25"/>
  <c r="W5" i="25" s="1"/>
  <c r="H7" i="25"/>
  <c r="I7" i="25"/>
  <c r="J7" i="25"/>
  <c r="K7" i="25"/>
  <c r="L7" i="25"/>
  <c r="M7" i="25"/>
  <c r="N7" i="25"/>
  <c r="O7" i="25"/>
  <c r="P7" i="25"/>
  <c r="Q7" i="25"/>
  <c r="R7" i="25"/>
  <c r="S7" i="25"/>
  <c r="U7" i="25"/>
  <c r="V7" i="25"/>
  <c r="X7" i="25"/>
  <c r="G8" i="25"/>
  <c r="M8" i="25" s="1"/>
  <c r="I8" i="25"/>
  <c r="J8" i="25"/>
  <c r="K8" i="25"/>
  <c r="L8" i="25"/>
  <c r="N8" i="25"/>
  <c r="P8" i="25"/>
  <c r="Q8" i="25"/>
  <c r="R8" i="25"/>
  <c r="S8" i="25"/>
  <c r="V8" i="25"/>
  <c r="X8" i="25"/>
  <c r="G9" i="25"/>
  <c r="S9" i="25" s="1"/>
  <c r="H9" i="25"/>
  <c r="I9" i="25"/>
  <c r="J9" i="25"/>
  <c r="K9" i="25"/>
  <c r="L9" i="25"/>
  <c r="N9" i="25"/>
  <c r="O9" i="25"/>
  <c r="P9" i="25"/>
  <c r="Q9" i="25"/>
  <c r="R9" i="25"/>
  <c r="V9" i="25"/>
  <c r="X9" i="25"/>
  <c r="G10" i="25"/>
  <c r="M10" i="25" s="1"/>
  <c r="H10" i="25"/>
  <c r="K10" i="25"/>
  <c r="L10" i="25"/>
  <c r="O10" i="25"/>
  <c r="P10" i="25"/>
  <c r="V10" i="25"/>
  <c r="X10" i="25"/>
  <c r="G11" i="25"/>
  <c r="I11" i="25" s="1"/>
  <c r="H11" i="25"/>
  <c r="J11" i="25"/>
  <c r="K11" i="25"/>
  <c r="L11" i="25"/>
  <c r="M11" i="25"/>
  <c r="N11" i="25"/>
  <c r="O11" i="25"/>
  <c r="P11" i="25"/>
  <c r="Q11" i="25"/>
  <c r="R11" i="25"/>
  <c r="S11" i="25"/>
  <c r="U11" i="25"/>
  <c r="V11" i="25"/>
  <c r="X11" i="25"/>
  <c r="G12" i="25"/>
  <c r="M12" i="25" s="1"/>
  <c r="K12" i="25"/>
  <c r="L12" i="25"/>
  <c r="N12" i="25"/>
  <c r="P12" i="25"/>
  <c r="V12" i="25"/>
  <c r="X12" i="25"/>
  <c r="G13" i="25"/>
  <c r="S13" i="25" s="1"/>
  <c r="H13" i="25"/>
  <c r="J13" i="25"/>
  <c r="K13" i="25"/>
  <c r="L13" i="25"/>
  <c r="N13" i="25"/>
  <c r="O13" i="25"/>
  <c r="P13" i="25"/>
  <c r="Q13" i="25"/>
  <c r="V13" i="25"/>
  <c r="X13" i="25"/>
  <c r="Z5" i="25"/>
  <c r="Z6" i="25"/>
  <c r="Z7" i="25"/>
  <c r="Z8" i="25"/>
  <c r="Z9" i="25"/>
  <c r="Z10" i="25"/>
  <c r="Z11" i="25"/>
  <c r="Z12" i="25"/>
  <c r="Z13" i="25"/>
  <c r="Y3" i="25"/>
  <c r="Y4" i="25"/>
  <c r="Y5" i="25"/>
  <c r="Y6" i="25"/>
  <c r="Y7" i="25"/>
  <c r="Y8" i="25"/>
  <c r="Y9" i="25"/>
  <c r="Y10" i="25"/>
  <c r="Y11" i="25"/>
  <c r="Y12" i="25"/>
  <c r="Y13" i="25"/>
  <c r="Y2" i="25"/>
  <c r="AB2" i="25"/>
  <c r="AJ5" i="25"/>
  <c r="AK5" i="25"/>
  <c r="AJ6" i="25"/>
  <c r="AK6" i="25"/>
  <c r="AJ7" i="25"/>
  <c r="AK7" i="25"/>
  <c r="AJ8" i="25"/>
  <c r="AK8" i="25"/>
  <c r="AJ9" i="25"/>
  <c r="AK9" i="25"/>
  <c r="AJ10" i="25"/>
  <c r="AK10" i="25"/>
  <c r="AJ11" i="25"/>
  <c r="AK11" i="25"/>
  <c r="AJ12" i="25"/>
  <c r="AK12" i="25"/>
  <c r="AJ13" i="25"/>
  <c r="AK13" i="25"/>
  <c r="AG5" i="25"/>
  <c r="AG6" i="25"/>
  <c r="AG7" i="25"/>
  <c r="AG8" i="25"/>
  <c r="AG9" i="25"/>
  <c r="AG10" i="25"/>
  <c r="AG11" i="25"/>
  <c r="AG12" i="25"/>
  <c r="AG13" i="25"/>
  <c r="AB5" i="25"/>
  <c r="AC5" i="25"/>
  <c r="AB6" i="25"/>
  <c r="AC6" i="25"/>
  <c r="AA6" i="25" s="1"/>
  <c r="AB7" i="25"/>
  <c r="AC7" i="25"/>
  <c r="AA7" i="25" s="1"/>
  <c r="AB8" i="25"/>
  <c r="AC8" i="25"/>
  <c r="AB9" i="25"/>
  <c r="AC9" i="25"/>
  <c r="AB10" i="25"/>
  <c r="AC10" i="25"/>
  <c r="AA10" i="25" s="1"/>
  <c r="AB11" i="25"/>
  <c r="AC11" i="25"/>
  <c r="AB12" i="25"/>
  <c r="AC12" i="25"/>
  <c r="AB13" i="25"/>
  <c r="AC13" i="25"/>
  <c r="AA3" i="25"/>
  <c r="AA4" i="25"/>
  <c r="AA5" i="25"/>
  <c r="AA8" i="25"/>
  <c r="AA9" i="25"/>
  <c r="AA11" i="25"/>
  <c r="AA12" i="25"/>
  <c r="AA13" i="25"/>
  <c r="AA2" i="25"/>
  <c r="W4" i="25"/>
  <c r="AN5" i="25"/>
  <c r="AN6" i="25" s="1"/>
  <c r="AK4" i="25"/>
  <c r="AJ4" i="25"/>
  <c r="AC4" i="25"/>
  <c r="V4" i="25" s="1"/>
  <c r="AB4" i="25"/>
  <c r="G4" i="25" s="1"/>
  <c r="Z4" i="25"/>
  <c r="X4" i="25" s="1"/>
  <c r="K4" i="25"/>
  <c r="H4" i="25"/>
  <c r="AK3" i="25"/>
  <c r="AJ3" i="25"/>
  <c r="AG3" i="25"/>
  <c r="AC3" i="25"/>
  <c r="AB3" i="25"/>
  <c r="L3" i="25"/>
  <c r="K3" i="25"/>
  <c r="AK2" i="25"/>
  <c r="AJ2" i="25"/>
  <c r="K2" i="25" s="1"/>
  <c r="AC2" i="25"/>
  <c r="W2" i="25"/>
  <c r="AJ11" i="24"/>
  <c r="AK11" i="24"/>
  <c r="AL11" i="24"/>
  <c r="AJ12" i="24"/>
  <c r="K12" i="24" s="1"/>
  <c r="AK12" i="24"/>
  <c r="AL12" i="24"/>
  <c r="AJ13" i="24"/>
  <c r="AK13" i="24"/>
  <c r="AL13" i="24"/>
  <c r="AJ14" i="24"/>
  <c r="K14" i="24" s="1"/>
  <c r="AK14" i="24"/>
  <c r="AL14" i="24"/>
  <c r="AJ15" i="24"/>
  <c r="K15" i="24" s="1"/>
  <c r="AK15" i="24"/>
  <c r="AL15" i="24"/>
  <c r="AJ16" i="24"/>
  <c r="AK16" i="24"/>
  <c r="AL16" i="24"/>
  <c r="AJ17" i="24"/>
  <c r="AK17" i="24"/>
  <c r="AL17" i="24"/>
  <c r="AJ18" i="24"/>
  <c r="K18" i="24" s="1"/>
  <c r="AK18" i="24"/>
  <c r="AL18" i="24"/>
  <c r="AJ19" i="24"/>
  <c r="AK19" i="24"/>
  <c r="AL19" i="24"/>
  <c r="AJ20" i="24"/>
  <c r="K20" i="24" s="1"/>
  <c r="AK20" i="24"/>
  <c r="AL20" i="24"/>
  <c r="AJ21" i="24"/>
  <c r="AK21" i="24"/>
  <c r="AL21" i="24"/>
  <c r="AJ22" i="24"/>
  <c r="K22" i="24" s="1"/>
  <c r="AK22" i="24"/>
  <c r="AL22" i="24"/>
  <c r="AG11" i="24"/>
  <c r="AG12" i="24"/>
  <c r="AG13" i="24"/>
  <c r="AG14" i="24"/>
  <c r="AG15" i="24"/>
  <c r="AG16" i="24"/>
  <c r="AG17" i="24"/>
  <c r="AG18" i="24"/>
  <c r="AG19" i="24"/>
  <c r="AG20" i="24"/>
  <c r="AG21" i="24"/>
  <c r="AG22" i="24"/>
  <c r="J22" i="24" s="1"/>
  <c r="AC11" i="24"/>
  <c r="AC12" i="24"/>
  <c r="Z12" i="24" s="1"/>
  <c r="X12" i="24" s="1"/>
  <c r="AC13" i="24"/>
  <c r="Z13" i="24" s="1"/>
  <c r="X13" i="24" s="1"/>
  <c r="AC14" i="24"/>
  <c r="AC15" i="24"/>
  <c r="AA15" i="24" s="1"/>
  <c r="AC16" i="24"/>
  <c r="AA16" i="24" s="1"/>
  <c r="AC17" i="24"/>
  <c r="L17" i="24" s="1"/>
  <c r="AC18" i="24"/>
  <c r="AC19" i="24"/>
  <c r="AC20" i="24"/>
  <c r="AC21" i="24"/>
  <c r="Z21" i="24" s="1"/>
  <c r="AC22" i="24"/>
  <c r="AB11" i="24"/>
  <c r="AB12" i="24"/>
  <c r="AB13" i="24"/>
  <c r="AB14" i="24"/>
  <c r="AB15" i="24"/>
  <c r="AB16" i="24"/>
  <c r="G16" i="24" s="1"/>
  <c r="AB17" i="24"/>
  <c r="G17" i="24" s="1"/>
  <c r="AB18" i="24"/>
  <c r="AB19" i="24"/>
  <c r="AB20" i="24"/>
  <c r="AB21" i="24"/>
  <c r="G21" i="24" s="1"/>
  <c r="AB22" i="24"/>
  <c r="AA18" i="24"/>
  <c r="AA19" i="24"/>
  <c r="AA20" i="24"/>
  <c r="AA22" i="24"/>
  <c r="AA12" i="24"/>
  <c r="AA14" i="24"/>
  <c r="AA11" i="24"/>
  <c r="W22" i="24"/>
  <c r="Z11" i="24"/>
  <c r="X11" i="24" s="1"/>
  <c r="Z14" i="24"/>
  <c r="X14" i="24" s="1"/>
  <c r="Z15" i="24"/>
  <c r="Z18" i="24"/>
  <c r="X18" i="24" s="1"/>
  <c r="Z19" i="24"/>
  <c r="X19" i="24" s="1"/>
  <c r="Z22" i="24"/>
  <c r="X22" i="24" s="1"/>
  <c r="K17" i="24"/>
  <c r="G18" i="24"/>
  <c r="W18" i="24" s="1"/>
  <c r="L18" i="24"/>
  <c r="V18" i="24"/>
  <c r="G19" i="24"/>
  <c r="S19" i="24" s="1"/>
  <c r="K19" i="24"/>
  <c r="L19" i="24"/>
  <c r="V19" i="24"/>
  <c r="G20" i="24"/>
  <c r="L20" i="24"/>
  <c r="K21" i="24"/>
  <c r="L21" i="24"/>
  <c r="G22" i="24"/>
  <c r="Q22" i="24" s="1"/>
  <c r="H22" i="24"/>
  <c r="L22" i="24"/>
  <c r="N22" i="24"/>
  <c r="P22" i="24"/>
  <c r="V22" i="24"/>
  <c r="G11" i="24"/>
  <c r="I11" i="24" s="1"/>
  <c r="K11" i="24"/>
  <c r="L11" i="24"/>
  <c r="V11" i="24"/>
  <c r="G12" i="24"/>
  <c r="L12" i="24"/>
  <c r="V12" i="24"/>
  <c r="G13" i="24"/>
  <c r="K13" i="24"/>
  <c r="L13" i="24"/>
  <c r="G14" i="24"/>
  <c r="I14" i="24" s="1"/>
  <c r="L14" i="24"/>
  <c r="U14" i="24"/>
  <c r="V14" i="24"/>
  <c r="G15" i="24"/>
  <c r="L15" i="24"/>
  <c r="X15" i="24"/>
  <c r="K16" i="24"/>
  <c r="L16" i="24"/>
  <c r="AL3" i="24"/>
  <c r="AL4" i="24"/>
  <c r="AL5" i="24"/>
  <c r="AL6" i="24"/>
  <c r="AL7" i="24"/>
  <c r="AL8" i="24"/>
  <c r="AL9" i="24"/>
  <c r="AL10" i="24"/>
  <c r="AK3" i="24"/>
  <c r="AK4" i="24"/>
  <c r="H4" i="24" s="1"/>
  <c r="AK5" i="24"/>
  <c r="AK6" i="24"/>
  <c r="AK7" i="24"/>
  <c r="AK8" i="24"/>
  <c r="AK9" i="24"/>
  <c r="AK10" i="24"/>
  <c r="AJ3" i="24"/>
  <c r="AJ4" i="24"/>
  <c r="AJ5" i="24"/>
  <c r="K5" i="24" s="1"/>
  <c r="AJ6" i="24"/>
  <c r="K6" i="24" s="1"/>
  <c r="AJ7" i="24"/>
  <c r="AJ8" i="24"/>
  <c r="K8" i="24" s="1"/>
  <c r="AJ9" i="24"/>
  <c r="AJ10" i="24"/>
  <c r="AG3" i="24"/>
  <c r="J3" i="24" s="1"/>
  <c r="AG4" i="24"/>
  <c r="AG5" i="24"/>
  <c r="AG6" i="24"/>
  <c r="J6" i="24" s="1"/>
  <c r="AG7" i="24"/>
  <c r="AG8" i="24"/>
  <c r="AG9" i="24"/>
  <c r="AG10" i="24"/>
  <c r="AC3" i="24"/>
  <c r="AC4" i="24"/>
  <c r="L4" i="24" s="1"/>
  <c r="AC5" i="24"/>
  <c r="V5" i="24" s="1"/>
  <c r="AC6" i="24"/>
  <c r="V6" i="24" s="1"/>
  <c r="AC7" i="24"/>
  <c r="L7" i="24" s="1"/>
  <c r="AC8" i="24"/>
  <c r="AC9" i="24"/>
  <c r="AC10" i="24"/>
  <c r="Z10" i="24" s="1"/>
  <c r="X10" i="24" s="1"/>
  <c r="AB3" i="24"/>
  <c r="AB4" i="24"/>
  <c r="AB5" i="24"/>
  <c r="AB6" i="24"/>
  <c r="AB7" i="24"/>
  <c r="G7" i="24" s="1"/>
  <c r="AB8" i="24"/>
  <c r="AB9" i="24"/>
  <c r="AB10" i="24"/>
  <c r="G10" i="24" s="1"/>
  <c r="AA3" i="24"/>
  <c r="AA4" i="24"/>
  <c r="AA5" i="24"/>
  <c r="AA6" i="24"/>
  <c r="AA8" i="24"/>
  <c r="AA9" i="24"/>
  <c r="AA10" i="24"/>
  <c r="AA2" i="24"/>
  <c r="Z3" i="24"/>
  <c r="Z4" i="24"/>
  <c r="Z5" i="24"/>
  <c r="Z6" i="24"/>
  <c r="Z7" i="24"/>
  <c r="X7" i="24" s="1"/>
  <c r="Z9" i="24"/>
  <c r="X9" i="24" s="1"/>
  <c r="G3" i="24"/>
  <c r="M3" i="24" s="1"/>
  <c r="I3" i="24"/>
  <c r="L3" i="24"/>
  <c r="V3" i="24"/>
  <c r="X3" i="24"/>
  <c r="G4" i="24"/>
  <c r="M4" i="24" s="1"/>
  <c r="P4" i="24"/>
  <c r="Q4" i="24"/>
  <c r="V4" i="24"/>
  <c r="X4" i="24"/>
  <c r="G5" i="24"/>
  <c r="O5" i="24" s="1"/>
  <c r="L5" i="24"/>
  <c r="G6" i="24"/>
  <c r="V7" i="24"/>
  <c r="G9" i="24"/>
  <c r="L9" i="24"/>
  <c r="V9" i="24"/>
  <c r="K10" i="24"/>
  <c r="L10" i="24"/>
  <c r="V10" i="24"/>
  <c r="V2" i="24"/>
  <c r="AB2" i="24"/>
  <c r="G2" i="24" s="1"/>
  <c r="AC2" i="24"/>
  <c r="AG2" i="24"/>
  <c r="AJ2" i="24"/>
  <c r="K2" i="24" s="1"/>
  <c r="K3" i="24"/>
  <c r="K4" i="24"/>
  <c r="K7" i="24"/>
  <c r="K9" i="24"/>
  <c r="H9" i="24"/>
  <c r="AN5" i="24"/>
  <c r="AL2" i="23"/>
  <c r="AL3" i="23"/>
  <c r="AL4" i="23"/>
  <c r="AL5" i="23"/>
  <c r="O5" i="23" s="1"/>
  <c r="AL6" i="23"/>
  <c r="AL7" i="23"/>
  <c r="AL8" i="23"/>
  <c r="AL9" i="23"/>
  <c r="AL10" i="23"/>
  <c r="AL11" i="23"/>
  <c r="AL12" i="23"/>
  <c r="AJ3" i="23"/>
  <c r="AK3" i="23"/>
  <c r="AJ4" i="23"/>
  <c r="AK4" i="23"/>
  <c r="AJ5" i="23"/>
  <c r="K5" i="23" s="1"/>
  <c r="AK5" i="23"/>
  <c r="AJ6" i="23"/>
  <c r="AK6" i="23"/>
  <c r="AJ7" i="23"/>
  <c r="AK7" i="23"/>
  <c r="AJ8" i="23"/>
  <c r="AK8" i="23"/>
  <c r="AJ9" i="23"/>
  <c r="K9" i="23" s="1"/>
  <c r="AK9" i="23"/>
  <c r="AJ10" i="23"/>
  <c r="K10" i="23" s="1"/>
  <c r="AK10" i="23"/>
  <c r="AJ11" i="23"/>
  <c r="AK11" i="23"/>
  <c r="AJ12" i="23"/>
  <c r="K12" i="23" s="1"/>
  <c r="AK12" i="23"/>
  <c r="AG3" i="23"/>
  <c r="AG4" i="23"/>
  <c r="AG5" i="23"/>
  <c r="AG6" i="23"/>
  <c r="AG7" i="23"/>
  <c r="AG8" i="23"/>
  <c r="AG9" i="23"/>
  <c r="AG10" i="23"/>
  <c r="AG11" i="23"/>
  <c r="AG12" i="23"/>
  <c r="AC3" i="23"/>
  <c r="AC4" i="23"/>
  <c r="Z4" i="23" s="1"/>
  <c r="X4" i="23" s="1"/>
  <c r="AC5" i="23"/>
  <c r="AC6" i="23"/>
  <c r="AC7" i="23"/>
  <c r="AA7" i="23" s="1"/>
  <c r="AC8" i="23"/>
  <c r="AA8" i="23" s="1"/>
  <c r="AC9" i="23"/>
  <c r="AA9" i="23" s="1"/>
  <c r="AC10" i="23"/>
  <c r="L10" i="23" s="1"/>
  <c r="AC11" i="23"/>
  <c r="AC12" i="23"/>
  <c r="Z12" i="23" s="1"/>
  <c r="X12" i="23" s="1"/>
  <c r="AB3" i="23"/>
  <c r="AB4" i="23"/>
  <c r="AB5" i="23"/>
  <c r="AB6" i="23"/>
  <c r="AB7" i="23"/>
  <c r="G7" i="23" s="1"/>
  <c r="AB8" i="23"/>
  <c r="G8" i="23" s="1"/>
  <c r="AB9" i="23"/>
  <c r="G9" i="23" s="1"/>
  <c r="AB10" i="23"/>
  <c r="G10" i="23" s="1"/>
  <c r="AB11" i="23"/>
  <c r="AB12" i="23"/>
  <c r="AA3" i="23"/>
  <c r="AA4" i="23"/>
  <c r="AA5" i="23"/>
  <c r="AA6" i="23"/>
  <c r="AA11" i="23"/>
  <c r="AA12" i="23"/>
  <c r="AA2" i="23"/>
  <c r="Z3" i="23"/>
  <c r="X3" i="23" s="1"/>
  <c r="Z5" i="23"/>
  <c r="X5" i="23" s="1"/>
  <c r="Z11" i="23"/>
  <c r="K8" i="23"/>
  <c r="L9" i="23"/>
  <c r="V9" i="23"/>
  <c r="G11" i="23"/>
  <c r="I11" i="23" s="1"/>
  <c r="K11" i="23"/>
  <c r="L11" i="23"/>
  <c r="V11" i="23"/>
  <c r="X11" i="23"/>
  <c r="G12" i="23"/>
  <c r="P12" i="23"/>
  <c r="V12" i="23"/>
  <c r="G3" i="23"/>
  <c r="J3" i="23" s="1"/>
  <c r="K3" i="23"/>
  <c r="L3" i="23"/>
  <c r="N3" i="23"/>
  <c r="V3" i="23"/>
  <c r="G4" i="23"/>
  <c r="N4" i="23" s="1"/>
  <c r="K4" i="23"/>
  <c r="L4" i="23"/>
  <c r="V4" i="23"/>
  <c r="G5" i="23"/>
  <c r="M5" i="23" s="1"/>
  <c r="L5" i="23"/>
  <c r="V5" i="23"/>
  <c r="G6" i="23"/>
  <c r="I6" i="23" s="1"/>
  <c r="K6" i="23"/>
  <c r="L6" i="23"/>
  <c r="P6" i="23"/>
  <c r="V6" i="23"/>
  <c r="K7" i="23"/>
  <c r="AN5" i="23"/>
  <c r="AN6" i="23" s="1"/>
  <c r="AK2" i="23"/>
  <c r="AJ2" i="23"/>
  <c r="K2" i="23" s="1"/>
  <c r="AC2" i="23"/>
  <c r="AB2" i="23"/>
  <c r="G2" i="23" s="1"/>
  <c r="S2" i="23" s="1"/>
  <c r="AJ24" i="22"/>
  <c r="AK24" i="22"/>
  <c r="AJ25" i="22"/>
  <c r="AK25" i="22"/>
  <c r="AJ26" i="22"/>
  <c r="K26" i="22" s="1"/>
  <c r="AK26" i="22"/>
  <c r="AJ27" i="22"/>
  <c r="AK27" i="22"/>
  <c r="AJ28" i="22"/>
  <c r="AK28" i="22"/>
  <c r="AJ29" i="22"/>
  <c r="AK29" i="22"/>
  <c r="AJ30" i="22"/>
  <c r="K30" i="22" s="1"/>
  <c r="AK30" i="22"/>
  <c r="AG28" i="22"/>
  <c r="AC24" i="22"/>
  <c r="AG24" i="22" s="1"/>
  <c r="AC25" i="22"/>
  <c r="AA25" i="22" s="1"/>
  <c r="AC26" i="22"/>
  <c r="AG26" i="22" s="1"/>
  <c r="AC27" i="22"/>
  <c r="Z27" i="22" s="1"/>
  <c r="X27" i="22" s="1"/>
  <c r="AC28" i="22"/>
  <c r="Z28" i="22" s="1"/>
  <c r="X28" i="22" s="1"/>
  <c r="AC29" i="22"/>
  <c r="AA29" i="22" s="1"/>
  <c r="AC30" i="22"/>
  <c r="L30" i="22" s="1"/>
  <c r="AB26" i="22"/>
  <c r="G26" i="22" s="1"/>
  <c r="AB27" i="22"/>
  <c r="AB30" i="22"/>
  <c r="G30" i="22" s="1"/>
  <c r="S30" i="22" s="1"/>
  <c r="Z25" i="22"/>
  <c r="X25" i="22" s="1"/>
  <c r="K24" i="22"/>
  <c r="K25" i="22"/>
  <c r="V26" i="22"/>
  <c r="G27" i="22"/>
  <c r="O27" i="22" s="1"/>
  <c r="K27" i="22"/>
  <c r="K28" i="22"/>
  <c r="K29" i="22"/>
  <c r="V30" i="22"/>
  <c r="D24" i="22"/>
  <c r="AB24" i="22" s="1"/>
  <c r="G24" i="22" s="1"/>
  <c r="D25" i="22"/>
  <c r="AB25" i="22" s="1"/>
  <c r="G25" i="22" s="1"/>
  <c r="D26" i="22"/>
  <c r="D27" i="22"/>
  <c r="D28" i="22"/>
  <c r="AB28" i="22" s="1"/>
  <c r="G28" i="22" s="1"/>
  <c r="D29" i="22"/>
  <c r="AB29" i="22" s="1"/>
  <c r="G29" i="22" s="1"/>
  <c r="M29" i="22" s="1"/>
  <c r="D30" i="22"/>
  <c r="AJ14" i="22"/>
  <c r="K14" i="22" s="1"/>
  <c r="AK14" i="22"/>
  <c r="AJ15" i="22"/>
  <c r="K15" i="22" s="1"/>
  <c r="AK15" i="22"/>
  <c r="AJ16" i="22"/>
  <c r="K16" i="22" s="1"/>
  <c r="AK16" i="22"/>
  <c r="AJ17" i="22"/>
  <c r="K17" i="22" s="1"/>
  <c r="AK17" i="22"/>
  <c r="AJ18" i="22"/>
  <c r="K18" i="22" s="1"/>
  <c r="AK18" i="22"/>
  <c r="AJ19" i="22"/>
  <c r="K19" i="22" s="1"/>
  <c r="AK19" i="22"/>
  <c r="AJ20" i="22"/>
  <c r="K20" i="22" s="1"/>
  <c r="AK20" i="22"/>
  <c r="AJ21" i="22"/>
  <c r="K21" i="22" s="1"/>
  <c r="AK21" i="22"/>
  <c r="AJ22" i="22"/>
  <c r="K22" i="22" s="1"/>
  <c r="AK22" i="22"/>
  <c r="AJ23" i="22"/>
  <c r="K23" i="22" s="1"/>
  <c r="AK23" i="22"/>
  <c r="AG14" i="22"/>
  <c r="AG20" i="22"/>
  <c r="AG22" i="22"/>
  <c r="AC14" i="22"/>
  <c r="AA14" i="22" s="1"/>
  <c r="AC15" i="22"/>
  <c r="AG15" i="22" s="1"/>
  <c r="AC16" i="22"/>
  <c r="V16" i="22" s="1"/>
  <c r="AC17" i="22"/>
  <c r="V17" i="22" s="1"/>
  <c r="AC18" i="22"/>
  <c r="Z18" i="22" s="1"/>
  <c r="X18" i="22" s="1"/>
  <c r="AC19" i="22"/>
  <c r="AG19" i="22" s="1"/>
  <c r="AC20" i="22"/>
  <c r="AA20" i="22" s="1"/>
  <c r="AC21" i="22"/>
  <c r="L21" i="22" s="1"/>
  <c r="AC22" i="22"/>
  <c r="AA22" i="22" s="1"/>
  <c r="AB23" i="22"/>
  <c r="G23" i="22" s="1"/>
  <c r="M23" i="22" s="1"/>
  <c r="AC23" i="22"/>
  <c r="AG23" i="22" s="1"/>
  <c r="Z15" i="22"/>
  <c r="X15" i="22" s="1"/>
  <c r="Z19" i="22"/>
  <c r="X19" i="22" s="1"/>
  <c r="AA12" i="22"/>
  <c r="AA15" i="22"/>
  <c r="AA16" i="22"/>
  <c r="AA19" i="22"/>
  <c r="L15" i="22"/>
  <c r="V15" i="22"/>
  <c r="L16" i="22"/>
  <c r="L19" i="22"/>
  <c r="V19" i="22"/>
  <c r="L20" i="22"/>
  <c r="D14" i="22"/>
  <c r="AB14" i="22" s="1"/>
  <c r="G14" i="22" s="1"/>
  <c r="D15" i="22"/>
  <c r="AB15" i="22" s="1"/>
  <c r="G15" i="22" s="1"/>
  <c r="D16" i="22"/>
  <c r="AB16" i="22" s="1"/>
  <c r="G16" i="22" s="1"/>
  <c r="S16" i="22" s="1"/>
  <c r="D17" i="22"/>
  <c r="AB17" i="22" s="1"/>
  <c r="G17" i="22" s="1"/>
  <c r="D18" i="22"/>
  <c r="AB18" i="22" s="1"/>
  <c r="G18" i="22" s="1"/>
  <c r="D19" i="22"/>
  <c r="AB19" i="22" s="1"/>
  <c r="G19" i="22" s="1"/>
  <c r="D20" i="22"/>
  <c r="AB20" i="22" s="1"/>
  <c r="G20" i="22" s="1"/>
  <c r="D21" i="22"/>
  <c r="AB21" i="22" s="1"/>
  <c r="G21" i="22" s="1"/>
  <c r="D22" i="22"/>
  <c r="AB22" i="22" s="1"/>
  <c r="G22" i="22" s="1"/>
  <c r="D23" i="22"/>
  <c r="AJ8" i="22"/>
  <c r="K8" i="22" s="1"/>
  <c r="AK8" i="22"/>
  <c r="AJ9" i="22"/>
  <c r="K9" i="22" s="1"/>
  <c r="AK9" i="22"/>
  <c r="AJ10" i="22"/>
  <c r="K10" i="22" s="1"/>
  <c r="AK10" i="22"/>
  <c r="AJ11" i="22"/>
  <c r="K11" i="22" s="1"/>
  <c r="AK11" i="22"/>
  <c r="AJ12" i="22"/>
  <c r="K12" i="22" s="1"/>
  <c r="AK12" i="22"/>
  <c r="AJ13" i="22"/>
  <c r="K13" i="22" s="1"/>
  <c r="AK13" i="22"/>
  <c r="AC8" i="22"/>
  <c r="V8" i="22" s="1"/>
  <c r="AC9" i="22"/>
  <c r="AC10" i="22"/>
  <c r="V10" i="22" s="1"/>
  <c r="AC11" i="22"/>
  <c r="V11" i="22" s="1"/>
  <c r="AB12" i="22"/>
  <c r="G12" i="22" s="1"/>
  <c r="AC12" i="22"/>
  <c r="AG12" i="22" s="1"/>
  <c r="AC13" i="22"/>
  <c r="AA13" i="22" s="1"/>
  <c r="Z12" i="22"/>
  <c r="X12" i="22" s="1"/>
  <c r="L8" i="22"/>
  <c r="L10" i="22"/>
  <c r="D8" i="22"/>
  <c r="AB8" i="22" s="1"/>
  <c r="G8" i="22" s="1"/>
  <c r="U8" i="22" s="1"/>
  <c r="D9" i="22"/>
  <c r="AB9" i="22" s="1"/>
  <c r="G9" i="22" s="1"/>
  <c r="D10" i="22"/>
  <c r="AB10" i="22" s="1"/>
  <c r="G10" i="22" s="1"/>
  <c r="D11" i="22"/>
  <c r="AB11" i="22" s="1"/>
  <c r="G11" i="22" s="1"/>
  <c r="D12" i="22"/>
  <c r="D13" i="22"/>
  <c r="AB13" i="22" s="1"/>
  <c r="G13" i="22" s="1"/>
  <c r="AK7" i="22"/>
  <c r="AJ7" i="22"/>
  <c r="K7" i="22" s="1"/>
  <c r="AC7" i="22"/>
  <c r="AA7" i="22" s="1"/>
  <c r="D7" i="22"/>
  <c r="AB7" i="22" s="1"/>
  <c r="G7" i="22" s="1"/>
  <c r="D2" i="22"/>
  <c r="AB2" i="22" s="1"/>
  <c r="G2" i="22" s="1"/>
  <c r="D3" i="22"/>
  <c r="AB3" i="22" s="1"/>
  <c r="G3" i="22" s="1"/>
  <c r="S3" i="22" s="1"/>
  <c r="D4" i="22"/>
  <c r="AB4" i="22" s="1"/>
  <c r="G4" i="22" s="1"/>
  <c r="S4" i="22" s="1"/>
  <c r="D5" i="22"/>
  <c r="AB5" i="22" s="1"/>
  <c r="G5" i="22" s="1"/>
  <c r="D6" i="22"/>
  <c r="AB6" i="22" s="1"/>
  <c r="G6" i="22" s="1"/>
  <c r="AN6" i="22"/>
  <c r="AK6" i="22"/>
  <c r="AJ6" i="22"/>
  <c r="K6" i="22" s="1"/>
  <c r="AC6" i="22"/>
  <c r="L6" i="22" s="1"/>
  <c r="AN5" i="22"/>
  <c r="AK5" i="22"/>
  <c r="AJ5" i="22"/>
  <c r="K5" i="22" s="1"/>
  <c r="AC5" i="22"/>
  <c r="V5" i="22" s="1"/>
  <c r="Z5" i="22"/>
  <c r="AK4" i="22"/>
  <c r="AJ4" i="22"/>
  <c r="K4" i="22" s="1"/>
  <c r="AC4" i="22"/>
  <c r="AA4" i="22" s="1"/>
  <c r="L4" i="22"/>
  <c r="AK3" i="22"/>
  <c r="AJ3" i="22"/>
  <c r="K3" i="22" s="1"/>
  <c r="AC3" i="22"/>
  <c r="V3" i="22" s="1"/>
  <c r="AK2" i="22"/>
  <c r="AJ2" i="22"/>
  <c r="K2" i="22" s="1"/>
  <c r="AC2" i="22"/>
  <c r="Z2" i="22" s="1"/>
  <c r="AA2" i="22"/>
  <c r="AJ43" i="21"/>
  <c r="AK43" i="21"/>
  <c r="AJ44" i="21"/>
  <c r="AK44" i="21"/>
  <c r="AJ45" i="21"/>
  <c r="AK45" i="21"/>
  <c r="AJ46" i="21"/>
  <c r="K46" i="21" s="1"/>
  <c r="AK46" i="21"/>
  <c r="AJ47" i="21"/>
  <c r="AK47" i="21"/>
  <c r="AJ48" i="21"/>
  <c r="AK48" i="21"/>
  <c r="AJ49" i="21"/>
  <c r="AK49" i="21"/>
  <c r="AG43" i="21"/>
  <c r="AG44" i="21"/>
  <c r="AG45" i="21"/>
  <c r="AG46" i="21"/>
  <c r="AG47" i="21"/>
  <c r="AG48" i="21"/>
  <c r="AG49" i="21"/>
  <c r="AA36" i="21"/>
  <c r="AA37" i="21"/>
  <c r="AA38" i="21"/>
  <c r="AA39" i="21"/>
  <c r="AA40" i="21"/>
  <c r="AA41" i="21"/>
  <c r="AA42" i="21"/>
  <c r="AA35" i="21"/>
  <c r="AB43" i="21"/>
  <c r="AB44" i="21"/>
  <c r="G44" i="21" s="1"/>
  <c r="AB45" i="21"/>
  <c r="G45" i="21" s="1"/>
  <c r="AB46" i="21"/>
  <c r="AB47" i="21"/>
  <c r="AB48" i="21"/>
  <c r="AB49" i="21"/>
  <c r="G49" i="21" s="1"/>
  <c r="AA44" i="21"/>
  <c r="AA45" i="21"/>
  <c r="AA46" i="21"/>
  <c r="AA47" i="21"/>
  <c r="AA48" i="21"/>
  <c r="AA49" i="21"/>
  <c r="AA43" i="21"/>
  <c r="Z43" i="21"/>
  <c r="Z44" i="21"/>
  <c r="X44" i="21" s="1"/>
  <c r="Z45" i="21"/>
  <c r="Z46" i="21"/>
  <c r="X46" i="21" s="1"/>
  <c r="Z47" i="21"/>
  <c r="X47" i="21" s="1"/>
  <c r="Z48" i="21"/>
  <c r="Z49" i="21"/>
  <c r="X49" i="21" s="1"/>
  <c r="G43" i="21"/>
  <c r="S43" i="21" s="1"/>
  <c r="K43" i="21"/>
  <c r="L43" i="21"/>
  <c r="V43" i="21"/>
  <c r="X43" i="21"/>
  <c r="K44" i="21"/>
  <c r="L44" i="21"/>
  <c r="V44" i="21"/>
  <c r="K45" i="21"/>
  <c r="L45" i="21"/>
  <c r="V45" i="21"/>
  <c r="X45" i="21"/>
  <c r="G46" i="21"/>
  <c r="I46" i="21" s="1"/>
  <c r="L46" i="21"/>
  <c r="O46" i="21"/>
  <c r="V46" i="21"/>
  <c r="G47" i="21"/>
  <c r="P47" i="21" s="1"/>
  <c r="K47" i="21"/>
  <c r="L47" i="21"/>
  <c r="M47" i="21"/>
  <c r="O47" i="21"/>
  <c r="S47" i="21"/>
  <c r="U47" i="21"/>
  <c r="V47" i="21"/>
  <c r="G48" i="21"/>
  <c r="M48" i="21" s="1"/>
  <c r="K48" i="21"/>
  <c r="L48" i="21"/>
  <c r="V48" i="21"/>
  <c r="X48" i="21"/>
  <c r="K49" i="21"/>
  <c r="L49" i="21"/>
  <c r="V49" i="21"/>
  <c r="AJ35" i="21"/>
  <c r="AK35" i="21"/>
  <c r="AJ36" i="21"/>
  <c r="K36" i="21" s="1"/>
  <c r="AK36" i="21"/>
  <c r="AJ37" i="21"/>
  <c r="K37" i="21" s="1"/>
  <c r="AK37" i="21"/>
  <c r="AJ38" i="21"/>
  <c r="K38" i="21" s="1"/>
  <c r="AK38" i="21"/>
  <c r="AJ39" i="21"/>
  <c r="AK39" i="21"/>
  <c r="AJ40" i="21"/>
  <c r="AK40" i="21"/>
  <c r="AJ41" i="21"/>
  <c r="K41" i="21" s="1"/>
  <c r="AK41" i="21"/>
  <c r="AJ42" i="21"/>
  <c r="K42" i="21" s="1"/>
  <c r="AK42" i="21"/>
  <c r="AG35" i="21"/>
  <c r="AG36" i="21"/>
  <c r="AG37" i="21"/>
  <c r="AG38" i="21"/>
  <c r="AG39" i="21"/>
  <c r="AG40" i="21"/>
  <c r="AG41" i="21"/>
  <c r="AG42" i="21"/>
  <c r="Z35" i="21"/>
  <c r="AB35" i="21"/>
  <c r="G35" i="21" s="1"/>
  <c r="Z36" i="21"/>
  <c r="AB36" i="21"/>
  <c r="Z37" i="21"/>
  <c r="X37" i="21" s="1"/>
  <c r="AB37" i="21"/>
  <c r="Z38" i="21"/>
  <c r="X38" i="21" s="1"/>
  <c r="AB38" i="21"/>
  <c r="Z39" i="21"/>
  <c r="X39" i="21" s="1"/>
  <c r="AB39" i="21"/>
  <c r="Z40" i="21"/>
  <c r="X40" i="21" s="1"/>
  <c r="AB40" i="21"/>
  <c r="G40" i="21" s="1"/>
  <c r="Z41" i="21"/>
  <c r="X41" i="21" s="1"/>
  <c r="AB41" i="21"/>
  <c r="Z42" i="21"/>
  <c r="AB42" i="21"/>
  <c r="G42" i="21" s="1"/>
  <c r="K35" i="21"/>
  <c r="L35" i="21"/>
  <c r="V35" i="21"/>
  <c r="X35" i="21"/>
  <c r="G36" i="21"/>
  <c r="H36" i="21" s="1"/>
  <c r="L36" i="21"/>
  <c r="V36" i="21"/>
  <c r="X36" i="21"/>
  <c r="G37" i="21"/>
  <c r="H37" i="21" s="1"/>
  <c r="J37" i="21"/>
  <c r="L37" i="21"/>
  <c r="R37" i="21"/>
  <c r="V37" i="21"/>
  <c r="G38" i="21"/>
  <c r="M38" i="21" s="1"/>
  <c r="I38" i="21"/>
  <c r="J38" i="21"/>
  <c r="L38" i="21"/>
  <c r="N38" i="21"/>
  <c r="P38" i="21"/>
  <c r="Q38" i="21"/>
  <c r="R38" i="21"/>
  <c r="S38" i="21"/>
  <c r="V38" i="21"/>
  <c r="G39" i="21"/>
  <c r="P39" i="21" s="1"/>
  <c r="K39" i="21"/>
  <c r="L39" i="21"/>
  <c r="V39" i="21"/>
  <c r="K40" i="21"/>
  <c r="L40" i="21"/>
  <c r="V40" i="21"/>
  <c r="G41" i="21"/>
  <c r="H41" i="21" s="1"/>
  <c r="L41" i="21"/>
  <c r="M41" i="21"/>
  <c r="V41" i="21"/>
  <c r="L42" i="21"/>
  <c r="V42" i="21"/>
  <c r="X42" i="21"/>
  <c r="AJ26" i="21"/>
  <c r="AK26" i="21"/>
  <c r="AJ27" i="21"/>
  <c r="AK27" i="21"/>
  <c r="AJ28" i="21"/>
  <c r="K28" i="21" s="1"/>
  <c r="AK28" i="21"/>
  <c r="AJ29" i="21"/>
  <c r="AK29" i="21"/>
  <c r="AJ30" i="21"/>
  <c r="AK30" i="21"/>
  <c r="AJ31" i="21"/>
  <c r="K31" i="21" s="1"/>
  <c r="AK31" i="21"/>
  <c r="AJ32" i="21"/>
  <c r="K32" i="21" s="1"/>
  <c r="AK32" i="21"/>
  <c r="AJ33" i="21"/>
  <c r="K33" i="21" s="1"/>
  <c r="AK33" i="21"/>
  <c r="AJ34" i="21"/>
  <c r="AK34" i="21"/>
  <c r="AG26" i="21"/>
  <c r="AG27" i="21"/>
  <c r="AG28" i="21"/>
  <c r="AG29" i="21"/>
  <c r="AG30" i="21"/>
  <c r="AG31" i="21"/>
  <c r="AG32" i="21"/>
  <c r="AG33" i="21"/>
  <c r="AG34" i="21"/>
  <c r="AB26" i="21"/>
  <c r="G26" i="21" s="1"/>
  <c r="AB27" i="21"/>
  <c r="G27" i="21" s="1"/>
  <c r="AB28" i="21"/>
  <c r="AB29" i="21"/>
  <c r="AB30" i="21"/>
  <c r="AB31" i="21"/>
  <c r="AB32" i="21"/>
  <c r="AB33" i="21"/>
  <c r="AB34" i="21"/>
  <c r="G34" i="21" s="1"/>
  <c r="AA27" i="21"/>
  <c r="AA28" i="21"/>
  <c r="AA29" i="21"/>
  <c r="AA30" i="21"/>
  <c r="AA31" i="21"/>
  <c r="AA32" i="21"/>
  <c r="AA33" i="21"/>
  <c r="AA34" i="21"/>
  <c r="AA26" i="21"/>
  <c r="Z26" i="21"/>
  <c r="Z27" i="21"/>
  <c r="X27" i="21" s="1"/>
  <c r="Z28" i="21"/>
  <c r="X28" i="21" s="1"/>
  <c r="Z29" i="21"/>
  <c r="Z30" i="21"/>
  <c r="X30" i="21" s="1"/>
  <c r="Z31" i="21"/>
  <c r="Z32" i="21"/>
  <c r="Z33" i="21"/>
  <c r="X33" i="21" s="1"/>
  <c r="Z34" i="21"/>
  <c r="K26" i="21"/>
  <c r="L26" i="21"/>
  <c r="V26" i="21"/>
  <c r="X26" i="21"/>
  <c r="K27" i="21"/>
  <c r="L27" i="21"/>
  <c r="V27" i="21"/>
  <c r="G28" i="21"/>
  <c r="S28" i="21" s="1"/>
  <c r="L28" i="21"/>
  <c r="V28" i="21"/>
  <c r="G29" i="21"/>
  <c r="I29" i="21" s="1"/>
  <c r="K29" i="21"/>
  <c r="L29" i="21"/>
  <c r="V29" i="21"/>
  <c r="X29" i="21"/>
  <c r="G30" i="21"/>
  <c r="I30" i="21" s="1"/>
  <c r="H30" i="21"/>
  <c r="K30" i="21"/>
  <c r="L30" i="21"/>
  <c r="V30" i="21"/>
  <c r="G31" i="21"/>
  <c r="J31" i="21" s="1"/>
  <c r="L31" i="21"/>
  <c r="O31" i="21"/>
  <c r="V31" i="21"/>
  <c r="X31" i="21"/>
  <c r="G32" i="21"/>
  <c r="S32" i="21" s="1"/>
  <c r="H32" i="21"/>
  <c r="L32" i="21"/>
  <c r="R32" i="21"/>
  <c r="V32" i="21"/>
  <c r="X32" i="21"/>
  <c r="G33" i="21"/>
  <c r="I33" i="21" s="1"/>
  <c r="L33" i="21"/>
  <c r="V33" i="21"/>
  <c r="K34" i="21"/>
  <c r="L34" i="21"/>
  <c r="V34" i="21"/>
  <c r="X34" i="21"/>
  <c r="D27" i="21"/>
  <c r="D28" i="21"/>
  <c r="D29" i="21"/>
  <c r="D30" i="21"/>
  <c r="D31" i="21"/>
  <c r="D32" i="21"/>
  <c r="D33" i="21"/>
  <c r="D34" i="21"/>
  <c r="D26" i="21"/>
  <c r="AJ20" i="21"/>
  <c r="AK20" i="21"/>
  <c r="AJ21" i="21"/>
  <c r="K21" i="21" s="1"/>
  <c r="AK21" i="21"/>
  <c r="AJ22" i="21"/>
  <c r="AK22" i="21"/>
  <c r="AJ23" i="21"/>
  <c r="K23" i="21" s="1"/>
  <c r="AK23" i="21"/>
  <c r="AJ24" i="21"/>
  <c r="AK24" i="21"/>
  <c r="AJ25" i="21"/>
  <c r="K25" i="21" s="1"/>
  <c r="AK25" i="21"/>
  <c r="AG20" i="21"/>
  <c r="AG21" i="21"/>
  <c r="AG22" i="21"/>
  <c r="AG23" i="21"/>
  <c r="AG24" i="21"/>
  <c r="AG25" i="21"/>
  <c r="AB20" i="21"/>
  <c r="AC20" i="21"/>
  <c r="V20" i="21" s="1"/>
  <c r="AB21" i="21"/>
  <c r="AC21" i="21"/>
  <c r="AB22" i="21"/>
  <c r="AC22" i="21"/>
  <c r="AB23" i="21"/>
  <c r="AC23" i="21"/>
  <c r="L23" i="21" s="1"/>
  <c r="AB24" i="21"/>
  <c r="AC24" i="21"/>
  <c r="AA24" i="21" s="1"/>
  <c r="AB25" i="21"/>
  <c r="AC25" i="21"/>
  <c r="AA20" i="21"/>
  <c r="AA21" i="21"/>
  <c r="AA22" i="21"/>
  <c r="AA23" i="21"/>
  <c r="AA25" i="21"/>
  <c r="Z20" i="21"/>
  <c r="X20" i="21" s="1"/>
  <c r="Z21" i="21"/>
  <c r="X21" i="21" s="1"/>
  <c r="Z22" i="21"/>
  <c r="X22" i="21" s="1"/>
  <c r="Z24" i="21"/>
  <c r="Z25" i="21"/>
  <c r="X25" i="21" s="1"/>
  <c r="I20" i="21"/>
  <c r="H20" i="21"/>
  <c r="K20" i="21"/>
  <c r="L20" i="21"/>
  <c r="O20" i="21"/>
  <c r="Q20" i="21"/>
  <c r="U20" i="21"/>
  <c r="L21" i="21"/>
  <c r="V21" i="21"/>
  <c r="S22" i="21"/>
  <c r="K22" i="21"/>
  <c r="L22" i="21"/>
  <c r="Q22" i="21"/>
  <c r="V22" i="21"/>
  <c r="I24" i="21"/>
  <c r="H24" i="21"/>
  <c r="K24" i="21"/>
  <c r="L24" i="21"/>
  <c r="N24" i="21"/>
  <c r="O24" i="21"/>
  <c r="Q24" i="21"/>
  <c r="R24" i="21"/>
  <c r="V24" i="21"/>
  <c r="L25" i="21"/>
  <c r="V25" i="21"/>
  <c r="D20" i="21"/>
  <c r="D21" i="21"/>
  <c r="D22" i="21"/>
  <c r="D23" i="21"/>
  <c r="D24" i="21"/>
  <c r="D25" i="21"/>
  <c r="W18" i="21"/>
  <c r="AJ13" i="21"/>
  <c r="AK13" i="21"/>
  <c r="AJ14" i="21"/>
  <c r="K14" i="21" s="1"/>
  <c r="AK14" i="21"/>
  <c r="AJ15" i="21"/>
  <c r="K15" i="21" s="1"/>
  <c r="AK15" i="21"/>
  <c r="AJ16" i="21"/>
  <c r="K16" i="21" s="1"/>
  <c r="AK16" i="21"/>
  <c r="AJ17" i="21"/>
  <c r="AK17" i="21"/>
  <c r="AJ18" i="21"/>
  <c r="AK18" i="21"/>
  <c r="AJ19" i="21"/>
  <c r="AK19" i="21"/>
  <c r="K13" i="21"/>
  <c r="V13" i="21"/>
  <c r="AB13" i="21"/>
  <c r="AC13" i="21"/>
  <c r="Z13" i="21" s="1"/>
  <c r="AG13" i="21"/>
  <c r="H14" i="21"/>
  <c r="O14" i="21"/>
  <c r="V14" i="21"/>
  <c r="AB14" i="21"/>
  <c r="AC14" i="21"/>
  <c r="AG14" i="21"/>
  <c r="I15" i="21"/>
  <c r="H15" i="21"/>
  <c r="V15" i="21"/>
  <c r="AB15" i="21"/>
  <c r="AC15" i="21"/>
  <c r="Z15" i="21" s="1"/>
  <c r="X15" i="21" s="1"/>
  <c r="AG15" i="21"/>
  <c r="J16" i="21"/>
  <c r="I16" i="21"/>
  <c r="Q16" i="21"/>
  <c r="V16" i="21"/>
  <c r="Z16" i="21"/>
  <c r="X16" i="21" s="1"/>
  <c r="AB16" i="21"/>
  <c r="AC16" i="21"/>
  <c r="AA16" i="21" s="1"/>
  <c r="AG16" i="21"/>
  <c r="S17" i="21"/>
  <c r="H17" i="21"/>
  <c r="I17" i="21"/>
  <c r="J17" i="21"/>
  <c r="K17" i="21"/>
  <c r="O17" i="21"/>
  <c r="P17" i="21"/>
  <c r="Q17" i="21"/>
  <c r="R17" i="21"/>
  <c r="V17" i="21"/>
  <c r="Z17" i="21"/>
  <c r="X17" i="21" s="1"/>
  <c r="AA17" i="21"/>
  <c r="AB17" i="21"/>
  <c r="AC17" i="21"/>
  <c r="L17" i="21" s="1"/>
  <c r="AG17" i="21"/>
  <c r="K18" i="21"/>
  <c r="V18" i="21"/>
  <c r="Z18" i="21"/>
  <c r="X18" i="21" s="1"/>
  <c r="AA18" i="21"/>
  <c r="AB18" i="21"/>
  <c r="AC18" i="21"/>
  <c r="L18" i="21" s="1"/>
  <c r="AG18" i="21"/>
  <c r="K19" i="21"/>
  <c r="AB19" i="21"/>
  <c r="W19" i="21" s="1"/>
  <c r="AC19" i="21"/>
  <c r="AG19" i="21" s="1"/>
  <c r="D13" i="21"/>
  <c r="D14" i="21"/>
  <c r="D15" i="21"/>
  <c r="D16" i="21"/>
  <c r="D17" i="21"/>
  <c r="D18" i="21"/>
  <c r="D19" i="21"/>
  <c r="D11" i="21"/>
  <c r="AJ7" i="21"/>
  <c r="AK7" i="21"/>
  <c r="AJ8" i="21"/>
  <c r="K8" i="21" s="1"/>
  <c r="AK8" i="21"/>
  <c r="AJ9" i="21"/>
  <c r="K9" i="21" s="1"/>
  <c r="AK9" i="21"/>
  <c r="AJ10" i="21"/>
  <c r="K10" i="21" s="1"/>
  <c r="AK10" i="21"/>
  <c r="AJ11" i="21"/>
  <c r="AK11" i="21"/>
  <c r="AJ12" i="21"/>
  <c r="K12" i="21" s="1"/>
  <c r="AK12" i="21"/>
  <c r="AG7" i="21"/>
  <c r="AG8" i="21"/>
  <c r="AG9" i="21"/>
  <c r="J9" i="21" s="1"/>
  <c r="AG10" i="21"/>
  <c r="AG11" i="21"/>
  <c r="AG12" i="21"/>
  <c r="K7" i="21"/>
  <c r="V7" i="21"/>
  <c r="Z7" i="21"/>
  <c r="AA7" i="21"/>
  <c r="AB7" i="21"/>
  <c r="G7" i="21" s="1"/>
  <c r="AC7" i="21"/>
  <c r="AB8" i="21"/>
  <c r="G8" i="21" s="1"/>
  <c r="AC8" i="21"/>
  <c r="Z8" i="21" s="1"/>
  <c r="X8" i="21" s="1"/>
  <c r="G9" i="21"/>
  <c r="S9" i="21" s="1"/>
  <c r="O9" i="21"/>
  <c r="R9" i="21"/>
  <c r="V9" i="21"/>
  <c r="Z9" i="21"/>
  <c r="X9" i="21" s="1"/>
  <c r="AA9" i="21"/>
  <c r="AB9" i="21"/>
  <c r="AC9" i="21"/>
  <c r="L9" i="21" s="1"/>
  <c r="L10" i="21"/>
  <c r="AB10" i="21"/>
  <c r="G10" i="21" s="1"/>
  <c r="AC10" i="21"/>
  <c r="V10" i="21" s="1"/>
  <c r="K11" i="21"/>
  <c r="V11" i="21"/>
  <c r="Z11" i="21"/>
  <c r="AA11" i="21"/>
  <c r="AB11" i="21"/>
  <c r="G11" i="21" s="1"/>
  <c r="AC11" i="21"/>
  <c r="AB12" i="21"/>
  <c r="G12" i="21" s="1"/>
  <c r="AC12" i="21"/>
  <c r="Z12" i="21" s="1"/>
  <c r="X12" i="21" s="1"/>
  <c r="D7" i="21"/>
  <c r="D8" i="21"/>
  <c r="D9" i="21"/>
  <c r="D10" i="21"/>
  <c r="D12" i="21"/>
  <c r="D3" i="21"/>
  <c r="D4" i="21"/>
  <c r="AB4" i="21" s="1"/>
  <c r="G4" i="21" s="1"/>
  <c r="D5" i="21"/>
  <c r="D6" i="21"/>
  <c r="AB6" i="21" s="1"/>
  <c r="G6" i="21" s="1"/>
  <c r="D2" i="21"/>
  <c r="AA3" i="21"/>
  <c r="AA4" i="21"/>
  <c r="AA5" i="21"/>
  <c r="AA6" i="21"/>
  <c r="AA2" i="21"/>
  <c r="AN6" i="21"/>
  <c r="AK6" i="21"/>
  <c r="AJ6" i="21"/>
  <c r="K6" i="21" s="1"/>
  <c r="AC6" i="21"/>
  <c r="AN5" i="21"/>
  <c r="AK5" i="21"/>
  <c r="AJ5" i="21"/>
  <c r="K5" i="21" s="1"/>
  <c r="AG5" i="21"/>
  <c r="AC5" i="21"/>
  <c r="AB5" i="21"/>
  <c r="G5" i="21" s="1"/>
  <c r="M5" i="21" s="1"/>
  <c r="Z5" i="21"/>
  <c r="V5" i="21"/>
  <c r="L5" i="21"/>
  <c r="AK4" i="21"/>
  <c r="AJ4" i="21"/>
  <c r="K4" i="21" s="1"/>
  <c r="AC4" i="21"/>
  <c r="AG4" i="21" s="1"/>
  <c r="V4" i="21"/>
  <c r="L4" i="21"/>
  <c r="AK3" i="21"/>
  <c r="AJ3" i="21"/>
  <c r="K3" i="21" s="1"/>
  <c r="AC3" i="21"/>
  <c r="L3" i="21" s="1"/>
  <c r="AB3" i="21"/>
  <c r="G3" i="21" s="1"/>
  <c r="AK2" i="21"/>
  <c r="AJ2" i="21"/>
  <c r="K2" i="21" s="1"/>
  <c r="AC2" i="21"/>
  <c r="AG2" i="21" s="1"/>
  <c r="AB2" i="21"/>
  <c r="G2" i="21" s="1"/>
  <c r="AJ77" i="20"/>
  <c r="AK77" i="20"/>
  <c r="AJ78" i="20"/>
  <c r="K78" i="20" s="1"/>
  <c r="AK78" i="20"/>
  <c r="AJ79" i="20"/>
  <c r="AK79" i="20"/>
  <c r="AJ80" i="20"/>
  <c r="K80" i="20" s="1"/>
  <c r="AK80" i="20"/>
  <c r="AJ81" i="20"/>
  <c r="AK81" i="20"/>
  <c r="AJ82" i="20"/>
  <c r="AK82" i="20"/>
  <c r="AJ83" i="20"/>
  <c r="K83" i="20" s="1"/>
  <c r="AK83" i="20"/>
  <c r="H83" i="20" s="1"/>
  <c r="AJ84" i="20"/>
  <c r="AK84" i="20"/>
  <c r="AJ85" i="20"/>
  <c r="AK85" i="20"/>
  <c r="AJ86" i="20"/>
  <c r="AK86" i="20"/>
  <c r="AJ87" i="20"/>
  <c r="AK87" i="20"/>
  <c r="AG77" i="20"/>
  <c r="AG78" i="20"/>
  <c r="AG79" i="20"/>
  <c r="AG80" i="20"/>
  <c r="AG81" i="20"/>
  <c r="AG82" i="20"/>
  <c r="AG83" i="20"/>
  <c r="AG84" i="20"/>
  <c r="AG85" i="20"/>
  <c r="AG86" i="20"/>
  <c r="AG87" i="20"/>
  <c r="AB77" i="20"/>
  <c r="AC77" i="20"/>
  <c r="Z77" i="20" s="1"/>
  <c r="AB78" i="20"/>
  <c r="G78" i="20" s="1"/>
  <c r="AC78" i="20"/>
  <c r="Z78" i="20" s="1"/>
  <c r="X78" i="20" s="1"/>
  <c r="AB79" i="20"/>
  <c r="G79" i="20" s="1"/>
  <c r="AC79" i="20"/>
  <c r="Z79" i="20" s="1"/>
  <c r="X79" i="20" s="1"/>
  <c r="AB80" i="20"/>
  <c r="G80" i="20" s="1"/>
  <c r="AC80" i="20"/>
  <c r="L80" i="20" s="1"/>
  <c r="AB81" i="20"/>
  <c r="G81" i="20" s="1"/>
  <c r="AC81" i="20"/>
  <c r="Z81" i="20" s="1"/>
  <c r="X81" i="20" s="1"/>
  <c r="AB82" i="20"/>
  <c r="G82" i="20" s="1"/>
  <c r="AC82" i="20"/>
  <c r="L82" i="20" s="1"/>
  <c r="AB83" i="20"/>
  <c r="AC83" i="20"/>
  <c r="Z83" i="20" s="1"/>
  <c r="AB84" i="20"/>
  <c r="G84" i="20" s="1"/>
  <c r="AC84" i="20"/>
  <c r="AB85" i="20"/>
  <c r="AC85" i="20"/>
  <c r="Z85" i="20" s="1"/>
  <c r="AB86" i="20"/>
  <c r="AC86" i="20"/>
  <c r="L86" i="20" s="1"/>
  <c r="AB87" i="20"/>
  <c r="G87" i="20" s="1"/>
  <c r="AC87" i="20"/>
  <c r="Z87" i="20" s="1"/>
  <c r="X87" i="20" s="1"/>
  <c r="G77" i="20"/>
  <c r="J77" i="20" s="1"/>
  <c r="K77" i="20"/>
  <c r="L77" i="20"/>
  <c r="K79" i="20"/>
  <c r="L79" i="20"/>
  <c r="K81" i="20"/>
  <c r="K82" i="20"/>
  <c r="G83" i="20"/>
  <c r="N83" i="20" s="1"/>
  <c r="O83" i="20"/>
  <c r="U83" i="20"/>
  <c r="K84" i="20"/>
  <c r="L84" i="20"/>
  <c r="G85" i="20"/>
  <c r="J85" i="20" s="1"/>
  <c r="K85" i="20"/>
  <c r="L85" i="20"/>
  <c r="G86" i="20"/>
  <c r="H86" i="20" s="1"/>
  <c r="K86" i="20"/>
  <c r="K87" i="20"/>
  <c r="L87" i="20"/>
  <c r="AJ69" i="20"/>
  <c r="AK69" i="20"/>
  <c r="AJ70" i="20"/>
  <c r="AK70" i="20"/>
  <c r="AJ71" i="20"/>
  <c r="AK71" i="20"/>
  <c r="AJ72" i="20"/>
  <c r="K72" i="20" s="1"/>
  <c r="AK72" i="20"/>
  <c r="H72" i="20" s="1"/>
  <c r="AJ73" i="20"/>
  <c r="AK73" i="20"/>
  <c r="AJ74" i="20"/>
  <c r="K74" i="20" s="1"/>
  <c r="AK74" i="20"/>
  <c r="AJ75" i="20"/>
  <c r="AK75" i="20"/>
  <c r="AJ76" i="20"/>
  <c r="K76" i="20" s="1"/>
  <c r="AK76" i="20"/>
  <c r="AG69" i="20"/>
  <c r="AG70" i="20"/>
  <c r="AG71" i="20"/>
  <c r="AG72" i="20"/>
  <c r="AG73" i="20"/>
  <c r="AG74" i="20"/>
  <c r="AG75" i="20"/>
  <c r="AG76" i="20"/>
  <c r="AB69" i="20"/>
  <c r="G69" i="20" s="1"/>
  <c r="AC69" i="20"/>
  <c r="Z69" i="20" s="1"/>
  <c r="AB70" i="20"/>
  <c r="G70" i="20" s="1"/>
  <c r="AC70" i="20"/>
  <c r="Z70" i="20" s="1"/>
  <c r="AB71" i="20"/>
  <c r="AC71" i="20"/>
  <c r="Z71" i="20" s="1"/>
  <c r="AB72" i="20"/>
  <c r="AC72" i="20"/>
  <c r="L72" i="20" s="1"/>
  <c r="AB73" i="20"/>
  <c r="AC73" i="20"/>
  <c r="Z73" i="20" s="1"/>
  <c r="AB74" i="20"/>
  <c r="AC74" i="20"/>
  <c r="V74" i="20" s="1"/>
  <c r="AB75" i="20"/>
  <c r="AC75" i="20"/>
  <c r="Z75" i="20" s="1"/>
  <c r="AB76" i="20"/>
  <c r="G76" i="20" s="1"/>
  <c r="AC76" i="20"/>
  <c r="V76" i="20" s="1"/>
  <c r="K69" i="20"/>
  <c r="L69" i="20"/>
  <c r="K70" i="20"/>
  <c r="L70" i="20"/>
  <c r="G71" i="20"/>
  <c r="N71" i="20" s="1"/>
  <c r="K71" i="20"/>
  <c r="G72" i="20"/>
  <c r="O72" i="20"/>
  <c r="P72" i="20"/>
  <c r="S72" i="20"/>
  <c r="G73" i="20"/>
  <c r="J73" i="20" s="1"/>
  <c r="K73" i="20"/>
  <c r="G74" i="20"/>
  <c r="G75" i="20"/>
  <c r="N75" i="20" s="1"/>
  <c r="H75" i="20"/>
  <c r="K75" i="20"/>
  <c r="O75" i="20"/>
  <c r="P75" i="20"/>
  <c r="S75" i="20"/>
  <c r="U75" i="20"/>
  <c r="V75" i="20"/>
  <c r="AJ60" i="20"/>
  <c r="AK60" i="20"/>
  <c r="AJ61" i="20"/>
  <c r="AK61" i="20"/>
  <c r="AJ62" i="20"/>
  <c r="K62" i="20" s="1"/>
  <c r="AK62" i="20"/>
  <c r="AJ63" i="20"/>
  <c r="K63" i="20" s="1"/>
  <c r="AK63" i="20"/>
  <c r="AJ64" i="20"/>
  <c r="AK64" i="20"/>
  <c r="AJ65" i="20"/>
  <c r="AK65" i="20"/>
  <c r="AJ66" i="20"/>
  <c r="K66" i="20" s="1"/>
  <c r="AK66" i="20"/>
  <c r="AJ67" i="20"/>
  <c r="K67" i="20" s="1"/>
  <c r="AK67" i="20"/>
  <c r="AJ68" i="20"/>
  <c r="K68" i="20" s="1"/>
  <c r="AK68" i="20"/>
  <c r="H68" i="20" s="1"/>
  <c r="AG60" i="20"/>
  <c r="AG61" i="20"/>
  <c r="AG62" i="20"/>
  <c r="AG63" i="20"/>
  <c r="AG64" i="20"/>
  <c r="AG65" i="20"/>
  <c r="AG66" i="20"/>
  <c r="AG67" i="20"/>
  <c r="AG68" i="20"/>
  <c r="AB60" i="20"/>
  <c r="AC60" i="20"/>
  <c r="Z60" i="20" s="1"/>
  <c r="X60" i="20" s="1"/>
  <c r="Z61" i="20"/>
  <c r="AA61" i="20"/>
  <c r="AB61" i="20"/>
  <c r="AC61" i="20"/>
  <c r="AB62" i="20"/>
  <c r="AC62" i="20"/>
  <c r="Z62" i="20" s="1"/>
  <c r="Z63" i="20"/>
  <c r="AA63" i="20"/>
  <c r="AB63" i="20"/>
  <c r="AC63" i="20"/>
  <c r="AB64" i="20"/>
  <c r="AC64" i="20"/>
  <c r="Z64" i="20" s="1"/>
  <c r="Z65" i="20"/>
  <c r="AA65" i="20"/>
  <c r="AB65" i="20"/>
  <c r="AC65" i="20"/>
  <c r="X65" i="20" s="1"/>
  <c r="AB66" i="20"/>
  <c r="AC66" i="20"/>
  <c r="Z66" i="20" s="1"/>
  <c r="Z67" i="20"/>
  <c r="AA67" i="20"/>
  <c r="AB67" i="20"/>
  <c r="AC67" i="20"/>
  <c r="V67" i="20" s="1"/>
  <c r="AB68" i="20"/>
  <c r="AC68" i="20"/>
  <c r="Z68" i="20" s="1"/>
  <c r="V61" i="20"/>
  <c r="V63" i="20"/>
  <c r="G67" i="20"/>
  <c r="G68" i="20"/>
  <c r="S68" i="20" s="1"/>
  <c r="M68" i="20"/>
  <c r="R68" i="20"/>
  <c r="V68" i="20"/>
  <c r="G60" i="20"/>
  <c r="H60" i="20" s="1"/>
  <c r="K60" i="20"/>
  <c r="O60" i="20"/>
  <c r="R60" i="20"/>
  <c r="V60" i="20"/>
  <c r="G61" i="20"/>
  <c r="K61" i="20"/>
  <c r="G62" i="20"/>
  <c r="S62" i="20" s="1"/>
  <c r="O62" i="20"/>
  <c r="Q62" i="20"/>
  <c r="G63" i="20"/>
  <c r="G64" i="20"/>
  <c r="H64" i="20" s="1"/>
  <c r="K64" i="20"/>
  <c r="M64" i="20"/>
  <c r="O64" i="20"/>
  <c r="Q64" i="20"/>
  <c r="R64" i="20"/>
  <c r="S64" i="20"/>
  <c r="G65" i="20"/>
  <c r="K65" i="20"/>
  <c r="L65" i="20"/>
  <c r="V65" i="20"/>
  <c r="G66" i="20"/>
  <c r="S66" i="20" s="1"/>
  <c r="AJ53" i="20"/>
  <c r="AK53" i="20"/>
  <c r="AJ54" i="20"/>
  <c r="K54" i="20" s="1"/>
  <c r="AK54" i="20"/>
  <c r="AJ55" i="20"/>
  <c r="K55" i="20" s="1"/>
  <c r="AK55" i="20"/>
  <c r="AJ56" i="20"/>
  <c r="AK56" i="20"/>
  <c r="AJ57" i="20"/>
  <c r="AK57" i="20"/>
  <c r="AJ58" i="20"/>
  <c r="AK58" i="20"/>
  <c r="AJ59" i="20"/>
  <c r="AK59" i="20"/>
  <c r="AG53" i="20"/>
  <c r="AG54" i="20"/>
  <c r="AG55" i="20"/>
  <c r="AG56" i="20"/>
  <c r="AG57" i="20"/>
  <c r="AG58" i="20"/>
  <c r="AG59" i="20"/>
  <c r="AB53" i="20"/>
  <c r="AC53" i="20"/>
  <c r="Z53" i="20" s="1"/>
  <c r="X53" i="20" s="1"/>
  <c r="AB54" i="20"/>
  <c r="G54" i="20" s="1"/>
  <c r="AC54" i="20"/>
  <c r="Z54" i="20" s="1"/>
  <c r="AB55" i="20"/>
  <c r="AC55" i="20"/>
  <c r="Z55" i="20" s="1"/>
  <c r="X55" i="20" s="1"/>
  <c r="AB56" i="20"/>
  <c r="G56" i="20" s="1"/>
  <c r="AC56" i="20"/>
  <c r="L56" i="20" s="1"/>
  <c r="AB57" i="20"/>
  <c r="G57" i="20" s="1"/>
  <c r="AC57" i="20"/>
  <c r="Z57" i="20" s="1"/>
  <c r="AB58" i="20"/>
  <c r="G58" i="20" s="1"/>
  <c r="AC58" i="20"/>
  <c r="Z58" i="20" s="1"/>
  <c r="AB59" i="20"/>
  <c r="G59" i="20" s="1"/>
  <c r="AC59" i="20"/>
  <c r="Z59" i="20" s="1"/>
  <c r="G53" i="20"/>
  <c r="K53" i="20"/>
  <c r="O53" i="20"/>
  <c r="S53" i="20"/>
  <c r="L54" i="20"/>
  <c r="G55" i="20"/>
  <c r="S55" i="20" s="1"/>
  <c r="I55" i="20"/>
  <c r="M55" i="20"/>
  <c r="Q55" i="20"/>
  <c r="R55" i="20"/>
  <c r="K56" i="20"/>
  <c r="K57" i="20"/>
  <c r="V57" i="20"/>
  <c r="K58" i="20"/>
  <c r="V58" i="20"/>
  <c r="K59" i="20"/>
  <c r="V59" i="20"/>
  <c r="AJ46" i="20"/>
  <c r="AK46" i="20"/>
  <c r="H46" i="20" s="1"/>
  <c r="AJ47" i="20"/>
  <c r="K47" i="20" s="1"/>
  <c r="AK47" i="20"/>
  <c r="AJ48" i="20"/>
  <c r="AK48" i="20"/>
  <c r="AJ49" i="20"/>
  <c r="K49" i="20" s="1"/>
  <c r="AK49" i="20"/>
  <c r="AJ50" i="20"/>
  <c r="AK50" i="20"/>
  <c r="AJ51" i="20"/>
  <c r="K51" i="20" s="1"/>
  <c r="AK51" i="20"/>
  <c r="AJ52" i="20"/>
  <c r="K52" i="20" s="1"/>
  <c r="AK52" i="20"/>
  <c r="AG46" i="20"/>
  <c r="AG47" i="20"/>
  <c r="AG48" i="20"/>
  <c r="AG49" i="20"/>
  <c r="AG50" i="20"/>
  <c r="AG51" i="20"/>
  <c r="AG52" i="20"/>
  <c r="AB46" i="20"/>
  <c r="AC46" i="20"/>
  <c r="Z46" i="20" s="1"/>
  <c r="Z47" i="20"/>
  <c r="X47" i="20" s="1"/>
  <c r="AA47" i="20"/>
  <c r="AB47" i="20"/>
  <c r="AC47" i="20"/>
  <c r="V47" i="20" s="1"/>
  <c r="AB48" i="20"/>
  <c r="G48" i="20" s="1"/>
  <c r="AC48" i="20"/>
  <c r="Z48" i="20" s="1"/>
  <c r="X48" i="20" s="1"/>
  <c r="Z49" i="20"/>
  <c r="AA49" i="20"/>
  <c r="AB49" i="20"/>
  <c r="AC49" i="20"/>
  <c r="L49" i="20" s="1"/>
  <c r="AB50" i="20"/>
  <c r="AC50" i="20"/>
  <c r="Z50" i="20" s="1"/>
  <c r="Z51" i="20"/>
  <c r="AA51" i="20"/>
  <c r="AB51" i="20"/>
  <c r="AC51" i="20"/>
  <c r="V51" i="20" s="1"/>
  <c r="AB52" i="20"/>
  <c r="AC52" i="20"/>
  <c r="Z52" i="20" s="1"/>
  <c r="W47" i="20"/>
  <c r="G46" i="20"/>
  <c r="J46" i="20" s="1"/>
  <c r="I46" i="20"/>
  <c r="K46" i="20"/>
  <c r="Q46" i="20"/>
  <c r="S46" i="20"/>
  <c r="G47" i="20"/>
  <c r="L47" i="20"/>
  <c r="O47" i="20"/>
  <c r="S47" i="20"/>
  <c r="K48" i="20"/>
  <c r="L48" i="20"/>
  <c r="V48" i="20"/>
  <c r="G49" i="20"/>
  <c r="O49" i="20"/>
  <c r="S49" i="20"/>
  <c r="V49" i="20"/>
  <c r="X49" i="20"/>
  <c r="G50" i="20"/>
  <c r="K50" i="20"/>
  <c r="Q50" i="20"/>
  <c r="G51" i="20"/>
  <c r="M51" i="20" s="1"/>
  <c r="L51" i="20"/>
  <c r="G52" i="20"/>
  <c r="N52" i="20" s="1"/>
  <c r="H52" i="20"/>
  <c r="I52" i="20"/>
  <c r="Q52" i="20"/>
  <c r="S52" i="20"/>
  <c r="U52" i="20"/>
  <c r="AJ39" i="20"/>
  <c r="AK39" i="20"/>
  <c r="AJ40" i="20"/>
  <c r="K40" i="20" s="1"/>
  <c r="AK40" i="20"/>
  <c r="AJ41" i="20"/>
  <c r="AK41" i="20"/>
  <c r="AJ42" i="20"/>
  <c r="K42" i="20" s="1"/>
  <c r="AK42" i="20"/>
  <c r="AJ43" i="20"/>
  <c r="AK43" i="20"/>
  <c r="AJ44" i="20"/>
  <c r="AK44" i="20"/>
  <c r="AJ45" i="20"/>
  <c r="AK45" i="20"/>
  <c r="AG39" i="20"/>
  <c r="AG40" i="20"/>
  <c r="AG41" i="20"/>
  <c r="AG42" i="20"/>
  <c r="J42" i="20" s="1"/>
  <c r="AG43" i="20"/>
  <c r="AG44" i="20"/>
  <c r="AG45" i="20"/>
  <c r="AA39" i="20"/>
  <c r="AB39" i="20"/>
  <c r="G39" i="20" s="1"/>
  <c r="AC39" i="20"/>
  <c r="Z39" i="20" s="1"/>
  <c r="X39" i="20" s="1"/>
  <c r="AA40" i="20"/>
  <c r="AB40" i="20"/>
  <c r="AC40" i="20"/>
  <c r="L40" i="20" s="1"/>
  <c r="Z41" i="20"/>
  <c r="AA41" i="20"/>
  <c r="AB41" i="20"/>
  <c r="AC41" i="20"/>
  <c r="Z42" i="20"/>
  <c r="AA42" i="20"/>
  <c r="AB42" i="20"/>
  <c r="AC42" i="20"/>
  <c r="L42" i="20" s="1"/>
  <c r="Z43" i="20"/>
  <c r="AA43" i="20"/>
  <c r="AB43" i="20"/>
  <c r="AC43" i="20"/>
  <c r="Z44" i="20"/>
  <c r="AA44" i="20"/>
  <c r="AB44" i="20"/>
  <c r="AC44" i="20"/>
  <c r="X44" i="20" s="1"/>
  <c r="Z45" i="20"/>
  <c r="AA45" i="20"/>
  <c r="AB45" i="20"/>
  <c r="G45" i="20" s="1"/>
  <c r="AC45" i="20"/>
  <c r="K39" i="20"/>
  <c r="L39" i="20"/>
  <c r="V39" i="20"/>
  <c r="G40" i="20"/>
  <c r="H40" i="20" s="1"/>
  <c r="O40" i="20"/>
  <c r="G41" i="20"/>
  <c r="K41" i="20"/>
  <c r="L41" i="20"/>
  <c r="O41" i="20"/>
  <c r="V41" i="20"/>
  <c r="X41" i="20"/>
  <c r="G42" i="20"/>
  <c r="O42" i="20"/>
  <c r="S42" i="20"/>
  <c r="V42" i="20"/>
  <c r="G43" i="20"/>
  <c r="K43" i="20"/>
  <c r="L43" i="20"/>
  <c r="M43" i="20"/>
  <c r="O43" i="20"/>
  <c r="Q43" i="20"/>
  <c r="V43" i="20"/>
  <c r="X43" i="20"/>
  <c r="G44" i="20"/>
  <c r="H44" i="20" s="1"/>
  <c r="K44" i="20"/>
  <c r="L44" i="20"/>
  <c r="O44" i="20"/>
  <c r="V44" i="20"/>
  <c r="K45" i="20"/>
  <c r="L45" i="20"/>
  <c r="V45" i="20"/>
  <c r="X45" i="20"/>
  <c r="AJ32" i="20"/>
  <c r="AK32" i="20"/>
  <c r="AJ33" i="20"/>
  <c r="AK33" i="20"/>
  <c r="AJ34" i="20"/>
  <c r="K34" i="20" s="1"/>
  <c r="AK34" i="20"/>
  <c r="AJ35" i="20"/>
  <c r="AK35" i="20"/>
  <c r="AJ36" i="20"/>
  <c r="AK36" i="20"/>
  <c r="AJ37" i="20"/>
  <c r="K37" i="20" s="1"/>
  <c r="AK37" i="20"/>
  <c r="AJ38" i="20"/>
  <c r="AK38" i="20"/>
  <c r="K32" i="20"/>
  <c r="K33" i="20"/>
  <c r="K38" i="20"/>
  <c r="AG32" i="20"/>
  <c r="AG33" i="20"/>
  <c r="AG34" i="20"/>
  <c r="AG35" i="20"/>
  <c r="AG36" i="20"/>
  <c r="AG37" i="20"/>
  <c r="AG38" i="20"/>
  <c r="Z32" i="20"/>
  <c r="AA32" i="20"/>
  <c r="AB32" i="20"/>
  <c r="G32" i="20" s="1"/>
  <c r="AC32" i="20"/>
  <c r="AB33" i="20"/>
  <c r="G33" i="20" s="1"/>
  <c r="AC33" i="20"/>
  <c r="L33" i="20" s="1"/>
  <c r="Z34" i="20"/>
  <c r="AA34" i="20"/>
  <c r="AB34" i="20"/>
  <c r="G34" i="20" s="1"/>
  <c r="AC34" i="20"/>
  <c r="AB35" i="20"/>
  <c r="G35" i="20" s="1"/>
  <c r="AC35" i="20"/>
  <c r="V35" i="20" s="1"/>
  <c r="Z36" i="20"/>
  <c r="AA36" i="20"/>
  <c r="AB36" i="20"/>
  <c r="AC36" i="20"/>
  <c r="AB37" i="20"/>
  <c r="G37" i="20" s="1"/>
  <c r="AC37" i="20"/>
  <c r="V37" i="20" s="1"/>
  <c r="Z38" i="20"/>
  <c r="AA38" i="20"/>
  <c r="AB38" i="20"/>
  <c r="G38" i="20" s="1"/>
  <c r="AC38" i="20"/>
  <c r="L32" i="20"/>
  <c r="V32" i="20"/>
  <c r="X32" i="20"/>
  <c r="V33" i="20"/>
  <c r="L34" i="20"/>
  <c r="V34" i="20"/>
  <c r="X34" i="20"/>
  <c r="K35" i="20"/>
  <c r="G36" i="20"/>
  <c r="I36" i="20" s="1"/>
  <c r="K36" i="20"/>
  <c r="L36" i="20"/>
  <c r="M36" i="20"/>
  <c r="O36" i="20"/>
  <c r="V36" i="20"/>
  <c r="X36" i="20"/>
  <c r="L37" i="20"/>
  <c r="L38" i="20"/>
  <c r="V38" i="20"/>
  <c r="X38" i="20"/>
  <c r="AJ25" i="20"/>
  <c r="AK25" i="20"/>
  <c r="AJ26" i="20"/>
  <c r="K26" i="20" s="1"/>
  <c r="AK26" i="20"/>
  <c r="AJ27" i="20"/>
  <c r="K27" i="20" s="1"/>
  <c r="AK27" i="20"/>
  <c r="AJ28" i="20"/>
  <c r="K28" i="20" s="1"/>
  <c r="AK28" i="20"/>
  <c r="AJ29" i="20"/>
  <c r="AK29" i="20"/>
  <c r="AJ30" i="20"/>
  <c r="K30" i="20" s="1"/>
  <c r="AK30" i="20"/>
  <c r="AJ31" i="20"/>
  <c r="K31" i="20" s="1"/>
  <c r="AK31" i="20"/>
  <c r="AG25" i="20"/>
  <c r="AG26" i="20"/>
  <c r="AG27" i="20"/>
  <c r="AG28" i="20"/>
  <c r="AG29" i="20"/>
  <c r="AG30" i="20"/>
  <c r="AG31" i="20"/>
  <c r="W26" i="20"/>
  <c r="W27" i="20"/>
  <c r="W28" i="20"/>
  <c r="W29" i="20"/>
  <c r="W30" i="20"/>
  <c r="W31" i="20"/>
  <c r="W25" i="20"/>
  <c r="AA25" i="20"/>
  <c r="AB25" i="20"/>
  <c r="G25" i="20" s="1"/>
  <c r="AC25" i="20"/>
  <c r="Z25" i="20" s="1"/>
  <c r="X25" i="20" s="1"/>
  <c r="AB26" i="20"/>
  <c r="AC26" i="20"/>
  <c r="L26" i="20" s="1"/>
  <c r="Z27" i="20"/>
  <c r="X27" i="20" s="1"/>
  <c r="AA27" i="20"/>
  <c r="AB27" i="20"/>
  <c r="G27" i="20" s="1"/>
  <c r="AC27" i="20"/>
  <c r="AB28" i="20"/>
  <c r="G28" i="20" s="1"/>
  <c r="AC28" i="20"/>
  <c r="AA29" i="20"/>
  <c r="AB29" i="20"/>
  <c r="G29" i="20" s="1"/>
  <c r="AC29" i="20"/>
  <c r="Z29" i="20" s="1"/>
  <c r="X29" i="20" s="1"/>
  <c r="AB30" i="20"/>
  <c r="G30" i="20" s="1"/>
  <c r="AC30" i="20"/>
  <c r="Z30" i="20" s="1"/>
  <c r="AA31" i="20"/>
  <c r="AB31" i="20"/>
  <c r="AC31" i="20"/>
  <c r="Z31" i="20" s="1"/>
  <c r="X31" i="20" s="1"/>
  <c r="K25" i="20"/>
  <c r="L25" i="20"/>
  <c r="V25" i="20"/>
  <c r="G26" i="20"/>
  <c r="O26" i="20" s="1"/>
  <c r="V26" i="20"/>
  <c r="L27" i="20"/>
  <c r="V27" i="20"/>
  <c r="K29" i="20"/>
  <c r="V29" i="20"/>
  <c r="G31" i="20"/>
  <c r="S31" i="20" s="1"/>
  <c r="W17" i="20"/>
  <c r="W18" i="20"/>
  <c r="W19" i="20"/>
  <c r="W20" i="20"/>
  <c r="W21" i="20"/>
  <c r="W22" i="20"/>
  <c r="W23" i="20"/>
  <c r="W24" i="20"/>
  <c r="W16" i="20"/>
  <c r="AJ16" i="20"/>
  <c r="AK16" i="20"/>
  <c r="AJ17" i="20"/>
  <c r="AK17" i="20"/>
  <c r="AJ18" i="20"/>
  <c r="AK18" i="20"/>
  <c r="AJ19" i="20"/>
  <c r="AK19" i="20"/>
  <c r="AJ20" i="20"/>
  <c r="AK20" i="20"/>
  <c r="AJ21" i="20"/>
  <c r="K21" i="20" s="1"/>
  <c r="AK21" i="20"/>
  <c r="AJ22" i="20"/>
  <c r="AK22" i="20"/>
  <c r="AJ23" i="20"/>
  <c r="K23" i="20" s="1"/>
  <c r="AK23" i="20"/>
  <c r="AJ24" i="20"/>
  <c r="AK24" i="20"/>
  <c r="AG16" i="20"/>
  <c r="AG17" i="20"/>
  <c r="AG18" i="20"/>
  <c r="AG19" i="20"/>
  <c r="AG20" i="20"/>
  <c r="AG21" i="20"/>
  <c r="AG22" i="20"/>
  <c r="AG23" i="20"/>
  <c r="AG24" i="20"/>
  <c r="AB16" i="20"/>
  <c r="AC16" i="20"/>
  <c r="Z16" i="20" s="1"/>
  <c r="X16" i="20" s="1"/>
  <c r="Z17" i="20"/>
  <c r="X17" i="20" s="1"/>
  <c r="AB17" i="20"/>
  <c r="G17" i="20" s="1"/>
  <c r="AC17" i="20"/>
  <c r="L17" i="20" s="1"/>
  <c r="AB18" i="20"/>
  <c r="AC18" i="20"/>
  <c r="Z18" i="20" s="1"/>
  <c r="Z19" i="20"/>
  <c r="AB19" i="20"/>
  <c r="G19" i="20" s="1"/>
  <c r="AC19" i="20"/>
  <c r="X19" i="20" s="1"/>
  <c r="AB20" i="20"/>
  <c r="AC20" i="20"/>
  <c r="Z20" i="20" s="1"/>
  <c r="X20" i="20" s="1"/>
  <c r="Z21" i="20"/>
  <c r="AB21" i="20"/>
  <c r="AC21" i="20"/>
  <c r="V21" i="20" s="1"/>
  <c r="AB22" i="20"/>
  <c r="AC22" i="20"/>
  <c r="Z22" i="20" s="1"/>
  <c r="X22" i="20" s="1"/>
  <c r="Z23" i="20"/>
  <c r="AB23" i="20"/>
  <c r="G23" i="20" s="1"/>
  <c r="AC23" i="20"/>
  <c r="X23" i="20" s="1"/>
  <c r="AB24" i="20"/>
  <c r="G24" i="20" s="1"/>
  <c r="AC24" i="20"/>
  <c r="Z24" i="20" s="1"/>
  <c r="G16" i="20"/>
  <c r="H16" i="20" s="1"/>
  <c r="K16" i="20"/>
  <c r="K17" i="20"/>
  <c r="G18" i="20"/>
  <c r="S18" i="20" s="1"/>
  <c r="K18" i="20"/>
  <c r="Q18" i="20"/>
  <c r="K19" i="20"/>
  <c r="L19" i="20"/>
  <c r="V19" i="20"/>
  <c r="G20" i="20"/>
  <c r="M20" i="20" s="1"/>
  <c r="H20" i="20"/>
  <c r="I20" i="20"/>
  <c r="K20" i="20"/>
  <c r="L20" i="20"/>
  <c r="O20" i="20"/>
  <c r="P20" i="20"/>
  <c r="Q20" i="20"/>
  <c r="G21" i="20"/>
  <c r="M21" i="20" s="1"/>
  <c r="G22" i="20"/>
  <c r="S22" i="20" s="1"/>
  <c r="H22" i="20"/>
  <c r="K22" i="20"/>
  <c r="Q22" i="20"/>
  <c r="R22" i="20"/>
  <c r="L23" i="20"/>
  <c r="K24" i="20"/>
  <c r="W9" i="20"/>
  <c r="W10" i="20"/>
  <c r="W11" i="20"/>
  <c r="W12" i="20"/>
  <c r="W13" i="20"/>
  <c r="W14" i="20"/>
  <c r="W15" i="20"/>
  <c r="W8" i="20"/>
  <c r="AA9" i="20"/>
  <c r="AA10" i="20"/>
  <c r="AA11" i="20"/>
  <c r="AA12" i="20"/>
  <c r="AA13" i="20"/>
  <c r="AA14" i="20"/>
  <c r="AA15" i="20"/>
  <c r="AA8" i="20"/>
  <c r="AA3" i="20"/>
  <c r="AA4" i="20"/>
  <c r="AA5" i="20"/>
  <c r="AA6" i="20"/>
  <c r="AA7" i="20"/>
  <c r="AA2" i="20"/>
  <c r="AK15" i="20"/>
  <c r="AJ15" i="20"/>
  <c r="K15" i="20" s="1"/>
  <c r="AC15" i="20"/>
  <c r="V15" i="20" s="1"/>
  <c r="AB15" i="20"/>
  <c r="G15" i="20" s="1"/>
  <c r="Z15" i="20"/>
  <c r="X15" i="20" s="1"/>
  <c r="S15" i="20"/>
  <c r="Q15" i="20"/>
  <c r="L15" i="20"/>
  <c r="I15" i="20"/>
  <c r="AK14" i="20"/>
  <c r="AJ14" i="20"/>
  <c r="AC14" i="20"/>
  <c r="AB14" i="20"/>
  <c r="G14" i="20" s="1"/>
  <c r="I14" i="20" s="1"/>
  <c r="L14" i="20"/>
  <c r="K14" i="20"/>
  <c r="AK13" i="20"/>
  <c r="AJ13" i="20"/>
  <c r="K13" i="20" s="1"/>
  <c r="AG13" i="20"/>
  <c r="AC13" i="20"/>
  <c r="L13" i="20" s="1"/>
  <c r="AB13" i="20"/>
  <c r="G13" i="20" s="1"/>
  <c r="R13" i="20" s="1"/>
  <c r="Z13" i="20"/>
  <c r="V13" i="20"/>
  <c r="AK12" i="20"/>
  <c r="AJ12" i="20"/>
  <c r="K12" i="20" s="1"/>
  <c r="AC12" i="20"/>
  <c r="L12" i="20" s="1"/>
  <c r="AB12" i="20"/>
  <c r="G12" i="20" s="1"/>
  <c r="N12" i="20" s="1"/>
  <c r="V12" i="20"/>
  <c r="S12" i="20"/>
  <c r="AK11" i="20"/>
  <c r="AJ11" i="20"/>
  <c r="K11" i="20" s="1"/>
  <c r="AC11" i="20"/>
  <c r="L11" i="20" s="1"/>
  <c r="AB11" i="20"/>
  <c r="G11" i="20" s="1"/>
  <c r="AK10" i="20"/>
  <c r="AJ10" i="20"/>
  <c r="K10" i="20" s="1"/>
  <c r="AC10" i="20"/>
  <c r="AB10" i="20"/>
  <c r="G10" i="20" s="1"/>
  <c r="S10" i="20" s="1"/>
  <c r="Z10" i="20"/>
  <c r="X10" i="20" s="1"/>
  <c r="V10" i="20"/>
  <c r="L10" i="20"/>
  <c r="AK9" i="20"/>
  <c r="AJ9" i="20"/>
  <c r="K9" i="20" s="1"/>
  <c r="AC9" i="20"/>
  <c r="L9" i="20" s="1"/>
  <c r="AB9" i="20"/>
  <c r="G9" i="20" s="1"/>
  <c r="Z9" i="20"/>
  <c r="X9" i="20" s="1"/>
  <c r="AK8" i="20"/>
  <c r="AJ8" i="20"/>
  <c r="K8" i="20" s="1"/>
  <c r="AC8" i="20"/>
  <c r="Z8" i="20" s="1"/>
  <c r="AB8" i="20"/>
  <c r="G8" i="20" s="1"/>
  <c r="AK7" i="20"/>
  <c r="AJ7" i="20"/>
  <c r="K7" i="20" s="1"/>
  <c r="AC7" i="20"/>
  <c r="V7" i="20" s="1"/>
  <c r="AB7" i="20"/>
  <c r="G7" i="20" s="1"/>
  <c r="P7" i="20" s="1"/>
  <c r="Z7" i="20"/>
  <c r="X7" i="20"/>
  <c r="S7" i="20"/>
  <c r="AK6" i="20"/>
  <c r="AJ6" i="20"/>
  <c r="K6" i="20" s="1"/>
  <c r="AG6" i="20"/>
  <c r="AC6" i="20"/>
  <c r="Z6" i="20" s="1"/>
  <c r="AB6" i="20"/>
  <c r="G6" i="20" s="1"/>
  <c r="M6" i="20" s="1"/>
  <c r="V6" i="20"/>
  <c r="L6" i="20"/>
  <c r="AN5" i="20"/>
  <c r="AK5" i="20"/>
  <c r="AJ5" i="20"/>
  <c r="K5" i="20" s="1"/>
  <c r="AG5" i="20"/>
  <c r="AC5" i="20"/>
  <c r="AB5" i="20"/>
  <c r="G5" i="20" s="1"/>
  <c r="L5" i="20"/>
  <c r="AK4" i="20"/>
  <c r="AJ4" i="20"/>
  <c r="K4" i="20" s="1"/>
  <c r="AC4" i="20"/>
  <c r="AB4" i="20"/>
  <c r="G4" i="20" s="1"/>
  <c r="L4" i="20"/>
  <c r="AK3" i="20"/>
  <c r="AJ3" i="20"/>
  <c r="K3" i="20" s="1"/>
  <c r="AG3" i="20"/>
  <c r="AC3" i="20"/>
  <c r="AB3" i="20"/>
  <c r="G3" i="20" s="1"/>
  <c r="Z3" i="20"/>
  <c r="X3" i="20" s="1"/>
  <c r="V3" i="20"/>
  <c r="L3" i="20"/>
  <c r="AK2" i="20"/>
  <c r="AJ2" i="20"/>
  <c r="K2" i="20" s="1"/>
  <c r="AC2" i="20"/>
  <c r="AB2" i="20"/>
  <c r="G2" i="20" s="1"/>
  <c r="R2" i="20" s="1"/>
  <c r="AJ90" i="5"/>
  <c r="AK90" i="5"/>
  <c r="AJ91" i="5"/>
  <c r="K91" i="5" s="1"/>
  <c r="AK91" i="5"/>
  <c r="AJ92" i="5"/>
  <c r="K92" i="5" s="1"/>
  <c r="AK92" i="5"/>
  <c r="AJ93" i="5"/>
  <c r="K93" i="5" s="1"/>
  <c r="AK93" i="5"/>
  <c r="AJ94" i="5"/>
  <c r="AK94" i="5"/>
  <c r="AJ95" i="5"/>
  <c r="K95" i="5" s="1"/>
  <c r="AK95" i="5"/>
  <c r="AJ96" i="5"/>
  <c r="K96" i="5" s="1"/>
  <c r="AK96" i="5"/>
  <c r="AJ97" i="5"/>
  <c r="AK97" i="5"/>
  <c r="AJ98" i="5"/>
  <c r="AK98" i="5"/>
  <c r="AG90" i="5"/>
  <c r="AG91" i="5"/>
  <c r="AG92" i="5"/>
  <c r="AG93" i="5"/>
  <c r="AG94" i="5"/>
  <c r="AG95" i="5"/>
  <c r="AG96" i="5"/>
  <c r="AG97" i="5"/>
  <c r="AG98" i="5"/>
  <c r="AB90" i="5"/>
  <c r="AC90" i="5"/>
  <c r="Z90" i="5" s="1"/>
  <c r="X90" i="5" s="1"/>
  <c r="Z91" i="5"/>
  <c r="AA91" i="5"/>
  <c r="AB91" i="5"/>
  <c r="AC91" i="5"/>
  <c r="V91" i="5" s="1"/>
  <c r="AB92" i="5"/>
  <c r="AC92" i="5"/>
  <c r="Z92" i="5" s="1"/>
  <c r="X92" i="5" s="1"/>
  <c r="Z93" i="5"/>
  <c r="AA93" i="5"/>
  <c r="AB93" i="5"/>
  <c r="G93" i="5" s="1"/>
  <c r="AC93" i="5"/>
  <c r="X93" i="5" s="1"/>
  <c r="AB94" i="5"/>
  <c r="AC94" i="5"/>
  <c r="Z94" i="5" s="1"/>
  <c r="Z95" i="5"/>
  <c r="X95" i="5" s="1"/>
  <c r="AA95" i="5"/>
  <c r="AB95" i="5"/>
  <c r="AC95" i="5"/>
  <c r="AB96" i="5"/>
  <c r="AC96" i="5"/>
  <c r="Z96" i="5" s="1"/>
  <c r="X96" i="5" s="1"/>
  <c r="Z97" i="5"/>
  <c r="AA97" i="5"/>
  <c r="AB97" i="5"/>
  <c r="AC97" i="5"/>
  <c r="X97" i="5" s="1"/>
  <c r="AB98" i="5"/>
  <c r="AC98" i="5"/>
  <c r="Z98" i="5" s="1"/>
  <c r="G90" i="5"/>
  <c r="J90" i="5" s="1"/>
  <c r="K90" i="5"/>
  <c r="G91" i="5"/>
  <c r="M91" i="5" s="1"/>
  <c r="L91" i="5"/>
  <c r="X91" i="5"/>
  <c r="G92" i="5"/>
  <c r="I92" i="5" s="1"/>
  <c r="L92" i="5"/>
  <c r="V92" i="5"/>
  <c r="L93" i="5"/>
  <c r="G94" i="5"/>
  <c r="N94" i="5" s="1"/>
  <c r="K94" i="5"/>
  <c r="G95" i="5"/>
  <c r="M95" i="5" s="1"/>
  <c r="L95" i="5"/>
  <c r="V95" i="5"/>
  <c r="G96" i="5"/>
  <c r="S96" i="5" s="1"/>
  <c r="H96" i="5"/>
  <c r="L96" i="5"/>
  <c r="P96" i="5"/>
  <c r="V96" i="5"/>
  <c r="G97" i="5"/>
  <c r="H97" i="5" s="1"/>
  <c r="K97" i="5"/>
  <c r="L97" i="5"/>
  <c r="V97" i="5"/>
  <c r="G98" i="5"/>
  <c r="W98" i="5" s="1"/>
  <c r="K98" i="5"/>
  <c r="L98" i="5"/>
  <c r="AJ82" i="5"/>
  <c r="K82" i="5" s="1"/>
  <c r="AK82" i="5"/>
  <c r="AJ83" i="5"/>
  <c r="K83" i="5" s="1"/>
  <c r="AK83" i="5"/>
  <c r="AJ84" i="5"/>
  <c r="K84" i="5" s="1"/>
  <c r="AK84" i="5"/>
  <c r="AJ85" i="5"/>
  <c r="K85" i="5" s="1"/>
  <c r="AK85" i="5"/>
  <c r="AJ86" i="5"/>
  <c r="K86" i="5" s="1"/>
  <c r="AK86" i="5"/>
  <c r="AJ87" i="5"/>
  <c r="K87" i="5" s="1"/>
  <c r="AK87" i="5"/>
  <c r="AJ88" i="5"/>
  <c r="K88" i="5" s="1"/>
  <c r="AK88" i="5"/>
  <c r="AJ89" i="5"/>
  <c r="K89" i="5" s="1"/>
  <c r="AK89" i="5"/>
  <c r="AB82" i="5"/>
  <c r="G82" i="5" s="1"/>
  <c r="AC82" i="5"/>
  <c r="AG82" i="5" s="1"/>
  <c r="AB83" i="5"/>
  <c r="G83" i="5" s="1"/>
  <c r="N83" i="5" s="1"/>
  <c r="AC83" i="5"/>
  <c r="AG83" i="5" s="1"/>
  <c r="AB84" i="5"/>
  <c r="G84" i="5" s="1"/>
  <c r="AC84" i="5"/>
  <c r="V84" i="5" s="1"/>
  <c r="AB85" i="5"/>
  <c r="G85" i="5" s="1"/>
  <c r="AC85" i="5"/>
  <c r="V85" i="5" s="1"/>
  <c r="AB86" i="5"/>
  <c r="G86" i="5" s="1"/>
  <c r="AC86" i="5"/>
  <c r="L86" i="5" s="1"/>
  <c r="AB87" i="5"/>
  <c r="G87" i="5" s="1"/>
  <c r="N87" i="5" s="1"/>
  <c r="AC87" i="5"/>
  <c r="V87" i="5" s="1"/>
  <c r="AB88" i="5"/>
  <c r="G88" i="5" s="1"/>
  <c r="AC88" i="5"/>
  <c r="AG88" i="5" s="1"/>
  <c r="AB89" i="5"/>
  <c r="G89" i="5" s="1"/>
  <c r="O89" i="5" s="1"/>
  <c r="AC89" i="5"/>
  <c r="AG89" i="5" s="1"/>
  <c r="AB74" i="5"/>
  <c r="G74" i="5" s="1"/>
  <c r="AC74" i="5"/>
  <c r="AA74" i="5" s="1"/>
  <c r="AB75" i="5"/>
  <c r="G75" i="5" s="1"/>
  <c r="AC75" i="5"/>
  <c r="L75" i="5" s="1"/>
  <c r="AB76" i="5"/>
  <c r="G76" i="5" s="1"/>
  <c r="AC76" i="5"/>
  <c r="AA76" i="5" s="1"/>
  <c r="AB77" i="5"/>
  <c r="G77" i="5" s="1"/>
  <c r="AC77" i="5"/>
  <c r="L77" i="5" s="1"/>
  <c r="AB78" i="5"/>
  <c r="G78" i="5" s="1"/>
  <c r="AC78" i="5"/>
  <c r="AG78" i="5" s="1"/>
  <c r="AB79" i="5"/>
  <c r="G79" i="5" s="1"/>
  <c r="AC79" i="5"/>
  <c r="L79" i="5" s="1"/>
  <c r="AB80" i="5"/>
  <c r="G80" i="5" s="1"/>
  <c r="S80" i="5" s="1"/>
  <c r="AC80" i="5"/>
  <c r="Z80" i="5" s="1"/>
  <c r="X80" i="5" s="1"/>
  <c r="AB81" i="5"/>
  <c r="G81" i="5" s="1"/>
  <c r="AC81" i="5"/>
  <c r="V81" i="5" s="1"/>
  <c r="AJ74" i="5"/>
  <c r="K74" i="5" s="1"/>
  <c r="AK74" i="5"/>
  <c r="AJ75" i="5"/>
  <c r="K75" i="5" s="1"/>
  <c r="AK75" i="5"/>
  <c r="AJ76" i="5"/>
  <c r="K76" i="5" s="1"/>
  <c r="AK76" i="5"/>
  <c r="AJ77" i="5"/>
  <c r="K77" i="5" s="1"/>
  <c r="AK77" i="5"/>
  <c r="AJ78" i="5"/>
  <c r="K78" i="5" s="1"/>
  <c r="AK78" i="5"/>
  <c r="AJ79" i="5"/>
  <c r="K79" i="5" s="1"/>
  <c r="AK79" i="5"/>
  <c r="AJ80" i="5"/>
  <c r="K80" i="5" s="1"/>
  <c r="AK80" i="5"/>
  <c r="AJ81" i="5"/>
  <c r="K81" i="5" s="1"/>
  <c r="AK81" i="5"/>
  <c r="AB66" i="5"/>
  <c r="G66" i="5" s="1"/>
  <c r="AC66" i="5"/>
  <c r="AB67" i="5"/>
  <c r="G67" i="5" s="1"/>
  <c r="AC67" i="5"/>
  <c r="AB68" i="5"/>
  <c r="G68" i="5" s="1"/>
  <c r="S68" i="5" s="1"/>
  <c r="AC68" i="5"/>
  <c r="Z68" i="5" s="1"/>
  <c r="X68" i="5" s="1"/>
  <c r="AB69" i="5"/>
  <c r="G69" i="5" s="1"/>
  <c r="AC69" i="5"/>
  <c r="AG69" i="5" s="1"/>
  <c r="AB70" i="5"/>
  <c r="G70" i="5" s="1"/>
  <c r="AC70" i="5"/>
  <c r="AG70" i="5" s="1"/>
  <c r="AB71" i="5"/>
  <c r="G71" i="5" s="1"/>
  <c r="AC71" i="5"/>
  <c r="V71" i="5" s="1"/>
  <c r="AB72" i="5"/>
  <c r="G72" i="5" s="1"/>
  <c r="AC72" i="5"/>
  <c r="L72" i="5" s="1"/>
  <c r="AB73" i="5"/>
  <c r="G73" i="5" s="1"/>
  <c r="AC73" i="5"/>
  <c r="V73" i="5" s="1"/>
  <c r="AJ66" i="5"/>
  <c r="K66" i="5" s="1"/>
  <c r="AK66" i="5"/>
  <c r="AJ67" i="5"/>
  <c r="K67" i="5" s="1"/>
  <c r="AK67" i="5"/>
  <c r="AJ68" i="5"/>
  <c r="K68" i="5" s="1"/>
  <c r="AK68" i="5"/>
  <c r="AJ69" i="5"/>
  <c r="K69" i="5" s="1"/>
  <c r="AK69" i="5"/>
  <c r="AJ70" i="5"/>
  <c r="K70" i="5" s="1"/>
  <c r="AK70" i="5"/>
  <c r="AJ71" i="5"/>
  <c r="K71" i="5" s="1"/>
  <c r="AK71" i="5"/>
  <c r="AJ72" i="5"/>
  <c r="K72" i="5" s="1"/>
  <c r="AK72" i="5"/>
  <c r="AJ73" i="5"/>
  <c r="AK73" i="5"/>
  <c r="AJ57" i="5"/>
  <c r="K57" i="5" s="1"/>
  <c r="AK57" i="5"/>
  <c r="AJ58" i="5"/>
  <c r="K58" i="5" s="1"/>
  <c r="AK58" i="5"/>
  <c r="AJ59" i="5"/>
  <c r="K59" i="5" s="1"/>
  <c r="AK59" i="5"/>
  <c r="AJ60" i="5"/>
  <c r="K60" i="5" s="1"/>
  <c r="AK60" i="5"/>
  <c r="AJ61" i="5"/>
  <c r="K61" i="5" s="1"/>
  <c r="AK61" i="5"/>
  <c r="AJ62" i="5"/>
  <c r="K62" i="5" s="1"/>
  <c r="AK62" i="5"/>
  <c r="AJ63" i="5"/>
  <c r="K63" i="5" s="1"/>
  <c r="AK63" i="5"/>
  <c r="AJ64" i="5"/>
  <c r="K64" i="5" s="1"/>
  <c r="AK64" i="5"/>
  <c r="AJ65" i="5"/>
  <c r="K65" i="5" s="1"/>
  <c r="AK65" i="5"/>
  <c r="AB57" i="5"/>
  <c r="G57" i="5" s="1"/>
  <c r="AC57" i="5"/>
  <c r="Z57" i="5" s="1"/>
  <c r="X57" i="5" s="1"/>
  <c r="AB58" i="5"/>
  <c r="G58" i="5" s="1"/>
  <c r="AC58" i="5"/>
  <c r="V58" i="5" s="1"/>
  <c r="AB59" i="5"/>
  <c r="G59" i="5" s="1"/>
  <c r="AC59" i="5"/>
  <c r="Z59" i="5" s="1"/>
  <c r="X59" i="5" s="1"/>
  <c r="AB60" i="5"/>
  <c r="G60" i="5" s="1"/>
  <c r="AC60" i="5"/>
  <c r="V60" i="5" s="1"/>
  <c r="AB61" i="5"/>
  <c r="G61" i="5" s="1"/>
  <c r="AC61" i="5"/>
  <c r="Z61" i="5" s="1"/>
  <c r="X61" i="5" s="1"/>
  <c r="AB62" i="5"/>
  <c r="G62" i="5" s="1"/>
  <c r="AC62" i="5"/>
  <c r="AA62" i="5" s="1"/>
  <c r="AB63" i="5"/>
  <c r="G63" i="5" s="1"/>
  <c r="AC63" i="5"/>
  <c r="Z63" i="5" s="1"/>
  <c r="X63" i="5" s="1"/>
  <c r="AB64" i="5"/>
  <c r="G64" i="5" s="1"/>
  <c r="AC64" i="5"/>
  <c r="V64" i="5" s="1"/>
  <c r="AB65" i="5"/>
  <c r="G65" i="5" s="1"/>
  <c r="AC65" i="5"/>
  <c r="Z65" i="5" s="1"/>
  <c r="X65" i="5" s="1"/>
  <c r="AB47" i="5"/>
  <c r="G47" i="5" s="1"/>
  <c r="R47" i="5" s="1"/>
  <c r="AC47" i="5"/>
  <c r="AA47" i="5" s="1"/>
  <c r="AB48" i="5"/>
  <c r="G48" i="5" s="1"/>
  <c r="AC48" i="5"/>
  <c r="V48" i="5" s="1"/>
  <c r="AB49" i="5"/>
  <c r="G49" i="5" s="1"/>
  <c r="AC49" i="5"/>
  <c r="L49" i="5" s="1"/>
  <c r="AB50" i="5"/>
  <c r="G50" i="5" s="1"/>
  <c r="AC50" i="5"/>
  <c r="L50" i="5" s="1"/>
  <c r="AB51" i="5"/>
  <c r="G51" i="5" s="1"/>
  <c r="AC51" i="5"/>
  <c r="V51" i="5" s="1"/>
  <c r="AB52" i="5"/>
  <c r="G52" i="5" s="1"/>
  <c r="AC52" i="5"/>
  <c r="V52" i="5" s="1"/>
  <c r="AB53" i="5"/>
  <c r="G53" i="5" s="1"/>
  <c r="AC53" i="5"/>
  <c r="AA53" i="5" s="1"/>
  <c r="AB54" i="5"/>
  <c r="G54" i="5" s="1"/>
  <c r="AC54" i="5"/>
  <c r="AG54" i="5" s="1"/>
  <c r="AB55" i="5"/>
  <c r="G55" i="5" s="1"/>
  <c r="AC55" i="5"/>
  <c r="Z55" i="5" s="1"/>
  <c r="X55" i="5" s="1"/>
  <c r="AB56" i="5"/>
  <c r="G56" i="5" s="1"/>
  <c r="AC56" i="5"/>
  <c r="Z56" i="5" s="1"/>
  <c r="X56" i="5" s="1"/>
  <c r="AJ47" i="5"/>
  <c r="K47" i="5" s="1"/>
  <c r="AK47" i="5"/>
  <c r="AJ48" i="5"/>
  <c r="K48" i="5" s="1"/>
  <c r="AK48" i="5"/>
  <c r="AJ49" i="5"/>
  <c r="K49" i="5" s="1"/>
  <c r="AK49" i="5"/>
  <c r="AJ50" i="5"/>
  <c r="K50" i="5" s="1"/>
  <c r="AK50" i="5"/>
  <c r="AJ51" i="5"/>
  <c r="K51" i="5" s="1"/>
  <c r="AK51" i="5"/>
  <c r="AJ52" i="5"/>
  <c r="K52" i="5" s="1"/>
  <c r="AK52" i="5"/>
  <c r="AJ53" i="5"/>
  <c r="K53" i="5" s="1"/>
  <c r="AK53" i="5"/>
  <c r="AJ54" i="5"/>
  <c r="K54" i="5" s="1"/>
  <c r="AK54" i="5"/>
  <c r="AJ55" i="5"/>
  <c r="K55" i="5" s="1"/>
  <c r="AK55" i="5"/>
  <c r="AJ56" i="5"/>
  <c r="K56" i="5" s="1"/>
  <c r="AK56" i="5"/>
  <c r="AB40" i="5"/>
  <c r="G40" i="5" s="1"/>
  <c r="AC40" i="5"/>
  <c r="AG40" i="5" s="1"/>
  <c r="AB41" i="5"/>
  <c r="G41" i="5" s="1"/>
  <c r="S41" i="5" s="1"/>
  <c r="AC41" i="5"/>
  <c r="L41" i="5" s="1"/>
  <c r="AB42" i="5"/>
  <c r="G42" i="5" s="1"/>
  <c r="AC42" i="5"/>
  <c r="AA42" i="5" s="1"/>
  <c r="AB43" i="5"/>
  <c r="G43" i="5" s="1"/>
  <c r="AC43" i="5"/>
  <c r="AG43" i="5" s="1"/>
  <c r="AB44" i="5"/>
  <c r="G44" i="5" s="1"/>
  <c r="N44" i="5" s="1"/>
  <c r="AC44" i="5"/>
  <c r="V44" i="5" s="1"/>
  <c r="AB45" i="5"/>
  <c r="G45" i="5" s="1"/>
  <c r="AC45" i="5"/>
  <c r="AG45" i="5" s="1"/>
  <c r="AB46" i="5"/>
  <c r="G46" i="5" s="1"/>
  <c r="AC46" i="5"/>
  <c r="AG46" i="5" s="1"/>
  <c r="AJ40" i="5"/>
  <c r="K40" i="5" s="1"/>
  <c r="AK40" i="5"/>
  <c r="AJ41" i="5"/>
  <c r="K41" i="5" s="1"/>
  <c r="AK41" i="5"/>
  <c r="AJ42" i="5"/>
  <c r="K42" i="5" s="1"/>
  <c r="AK42" i="5"/>
  <c r="AJ43" i="5"/>
  <c r="K43" i="5" s="1"/>
  <c r="AK43" i="5"/>
  <c r="AJ44" i="5"/>
  <c r="K44" i="5" s="1"/>
  <c r="AK44" i="5"/>
  <c r="AJ45" i="5"/>
  <c r="K45" i="5" s="1"/>
  <c r="AK45" i="5"/>
  <c r="AJ46" i="5"/>
  <c r="K46" i="5" s="1"/>
  <c r="AK46" i="5"/>
  <c r="AB30" i="5"/>
  <c r="G30" i="5" s="1"/>
  <c r="AC30" i="5"/>
  <c r="Z30" i="5" s="1"/>
  <c r="AB31" i="5"/>
  <c r="G31" i="5" s="1"/>
  <c r="AC31" i="5"/>
  <c r="Z31" i="5" s="1"/>
  <c r="AB32" i="5"/>
  <c r="G32" i="5" s="1"/>
  <c r="AC32" i="5"/>
  <c r="Z32" i="5" s="1"/>
  <c r="X32" i="5" s="1"/>
  <c r="AB33" i="5"/>
  <c r="G33" i="5" s="1"/>
  <c r="AC33" i="5"/>
  <c r="AB34" i="5"/>
  <c r="G34" i="5" s="1"/>
  <c r="AC34" i="5"/>
  <c r="Z34" i="5" s="1"/>
  <c r="AB35" i="5"/>
  <c r="G35" i="5" s="1"/>
  <c r="AC35" i="5"/>
  <c r="V35" i="5" s="1"/>
  <c r="AB36" i="5"/>
  <c r="G36" i="5" s="1"/>
  <c r="AC36" i="5"/>
  <c r="Z36" i="5" s="1"/>
  <c r="AB37" i="5"/>
  <c r="G37" i="5" s="1"/>
  <c r="O37" i="5" s="1"/>
  <c r="AC37" i="5"/>
  <c r="L37" i="5" s="1"/>
  <c r="AB38" i="5"/>
  <c r="G38" i="5" s="1"/>
  <c r="AC38" i="5"/>
  <c r="Z38" i="5" s="1"/>
  <c r="X38" i="5" s="1"/>
  <c r="AB39" i="5"/>
  <c r="G39" i="5" s="1"/>
  <c r="AC39" i="5"/>
  <c r="Z39" i="5" s="1"/>
  <c r="AJ30" i="5"/>
  <c r="K30" i="5" s="1"/>
  <c r="AK30" i="5"/>
  <c r="AJ31" i="5"/>
  <c r="K31" i="5" s="1"/>
  <c r="AK31" i="5"/>
  <c r="AJ32" i="5"/>
  <c r="K32" i="5" s="1"/>
  <c r="AK32" i="5"/>
  <c r="AJ33" i="5"/>
  <c r="K33" i="5" s="1"/>
  <c r="AK33" i="5"/>
  <c r="AJ34" i="5"/>
  <c r="K34" i="5" s="1"/>
  <c r="AK34" i="5"/>
  <c r="AJ35" i="5"/>
  <c r="K35" i="5" s="1"/>
  <c r="AK35" i="5"/>
  <c r="AJ36" i="5"/>
  <c r="K36" i="5" s="1"/>
  <c r="AK36" i="5"/>
  <c r="AJ37" i="5"/>
  <c r="K37" i="5" s="1"/>
  <c r="AK37" i="5"/>
  <c r="AJ38" i="5"/>
  <c r="K38" i="5" s="1"/>
  <c r="AK38" i="5"/>
  <c r="AJ39" i="5"/>
  <c r="K39" i="5" s="1"/>
  <c r="AK39" i="5"/>
  <c r="AB21" i="5"/>
  <c r="G21" i="5" s="1"/>
  <c r="AC21" i="5"/>
  <c r="AB22" i="5"/>
  <c r="G22" i="5" s="1"/>
  <c r="AC22" i="5"/>
  <c r="L22" i="5" s="1"/>
  <c r="AB23" i="5"/>
  <c r="G23" i="5" s="1"/>
  <c r="AC23" i="5"/>
  <c r="AB24" i="5"/>
  <c r="G24" i="5" s="1"/>
  <c r="AC24" i="5"/>
  <c r="V24" i="5" s="1"/>
  <c r="AB25" i="5"/>
  <c r="G25" i="5" s="1"/>
  <c r="AC25" i="5"/>
  <c r="Z25" i="5" s="1"/>
  <c r="X25" i="5" s="1"/>
  <c r="AB26" i="5"/>
  <c r="G26" i="5" s="1"/>
  <c r="AC26" i="5"/>
  <c r="AA26" i="5" s="1"/>
  <c r="AB27" i="5"/>
  <c r="G27" i="5" s="1"/>
  <c r="AC27" i="5"/>
  <c r="Z27" i="5" s="1"/>
  <c r="X27" i="5" s="1"/>
  <c r="AB28" i="5"/>
  <c r="G28" i="5" s="1"/>
  <c r="O28" i="5" s="1"/>
  <c r="AC28" i="5"/>
  <c r="AB29" i="5"/>
  <c r="G29" i="5" s="1"/>
  <c r="AC29" i="5"/>
  <c r="L29" i="5" s="1"/>
  <c r="AJ21" i="5"/>
  <c r="K21" i="5" s="1"/>
  <c r="AK21" i="5"/>
  <c r="AJ22" i="5"/>
  <c r="K22" i="5" s="1"/>
  <c r="AK22" i="5"/>
  <c r="AJ23" i="5"/>
  <c r="K23" i="5" s="1"/>
  <c r="AK23" i="5"/>
  <c r="AJ24" i="5"/>
  <c r="K24" i="5" s="1"/>
  <c r="AK24" i="5"/>
  <c r="AJ25" i="5"/>
  <c r="K25" i="5" s="1"/>
  <c r="AK25" i="5"/>
  <c r="AJ26" i="5"/>
  <c r="K26" i="5" s="1"/>
  <c r="AK26" i="5"/>
  <c r="AJ27" i="5"/>
  <c r="K27" i="5" s="1"/>
  <c r="AK27" i="5"/>
  <c r="AJ28" i="5"/>
  <c r="K28" i="5" s="1"/>
  <c r="AK28" i="5"/>
  <c r="AJ29" i="5"/>
  <c r="K29" i="5" s="1"/>
  <c r="AK29" i="5"/>
  <c r="AB14" i="5"/>
  <c r="G14" i="5" s="1"/>
  <c r="AC14" i="5"/>
  <c r="L14" i="5" s="1"/>
  <c r="AB15" i="5"/>
  <c r="G15" i="5" s="1"/>
  <c r="AC15" i="5"/>
  <c r="Z15" i="5" s="1"/>
  <c r="AB16" i="5"/>
  <c r="G16" i="5" s="1"/>
  <c r="AC16" i="5"/>
  <c r="AG16" i="5" s="1"/>
  <c r="AB17" i="5"/>
  <c r="G17" i="5" s="1"/>
  <c r="AC17" i="5"/>
  <c r="AB18" i="5"/>
  <c r="G18" i="5" s="1"/>
  <c r="AC18" i="5"/>
  <c r="L18" i="5" s="1"/>
  <c r="AB19" i="5"/>
  <c r="G19" i="5" s="1"/>
  <c r="AC19" i="5"/>
  <c r="AG19" i="5" s="1"/>
  <c r="AB20" i="5"/>
  <c r="G20" i="5" s="1"/>
  <c r="AC20" i="5"/>
  <c r="AJ14" i="5"/>
  <c r="K14" i="5" s="1"/>
  <c r="AK14" i="5"/>
  <c r="AJ15" i="5"/>
  <c r="K15" i="5" s="1"/>
  <c r="AK15" i="5"/>
  <c r="AJ16" i="5"/>
  <c r="K16" i="5" s="1"/>
  <c r="AK16" i="5"/>
  <c r="AJ17" i="5"/>
  <c r="K17" i="5" s="1"/>
  <c r="AK17" i="5"/>
  <c r="AJ18" i="5"/>
  <c r="K18" i="5" s="1"/>
  <c r="AK18" i="5"/>
  <c r="AJ19" i="5"/>
  <c r="K19" i="5" s="1"/>
  <c r="AK19" i="5"/>
  <c r="AJ20" i="5"/>
  <c r="K20" i="5" s="1"/>
  <c r="AK20" i="5"/>
  <c r="AC8" i="5"/>
  <c r="Z8" i="5" s="1"/>
  <c r="AB8" i="5"/>
  <c r="G8" i="5" s="1"/>
  <c r="AB9" i="5"/>
  <c r="G9" i="5" s="1"/>
  <c r="AC9" i="5"/>
  <c r="Z9" i="5" s="1"/>
  <c r="AB10" i="5"/>
  <c r="G10" i="5" s="1"/>
  <c r="AC10" i="5"/>
  <c r="V10" i="5" s="1"/>
  <c r="AB11" i="5"/>
  <c r="G11" i="5" s="1"/>
  <c r="AC11" i="5"/>
  <c r="V11" i="5" s="1"/>
  <c r="AB12" i="5"/>
  <c r="G12" i="5" s="1"/>
  <c r="AC12" i="5"/>
  <c r="AA12" i="5" s="1"/>
  <c r="AB13" i="5"/>
  <c r="G13" i="5" s="1"/>
  <c r="W13" i="5" s="1"/>
  <c r="AC13" i="5"/>
  <c r="Z13" i="5" s="1"/>
  <c r="AJ8" i="5"/>
  <c r="K8" i="5" s="1"/>
  <c r="AK8" i="5"/>
  <c r="AJ9" i="5"/>
  <c r="K9" i="5" s="1"/>
  <c r="AK9" i="5"/>
  <c r="AJ10" i="5"/>
  <c r="K10" i="5" s="1"/>
  <c r="AK10" i="5"/>
  <c r="AJ11" i="5"/>
  <c r="K11" i="5" s="1"/>
  <c r="AK11" i="5"/>
  <c r="AJ12" i="5"/>
  <c r="K12" i="5" s="1"/>
  <c r="AK12" i="5"/>
  <c r="AJ13" i="5"/>
  <c r="K13" i="5" s="1"/>
  <c r="AK13" i="5"/>
  <c r="AC3" i="5"/>
  <c r="AC4" i="5"/>
  <c r="Z4" i="5" s="1"/>
  <c r="AC5" i="5"/>
  <c r="AG5" i="5" s="1"/>
  <c r="AC6" i="5"/>
  <c r="AC7" i="5"/>
  <c r="AC2" i="5"/>
  <c r="Z2" i="5" s="1"/>
  <c r="X2" i="5" s="1"/>
  <c r="AB3" i="5"/>
  <c r="AB4" i="5"/>
  <c r="AB5" i="5"/>
  <c r="AB6" i="5"/>
  <c r="AB7" i="5"/>
  <c r="AB2" i="5"/>
  <c r="O12" i="25" l="1"/>
  <c r="W6" i="25"/>
  <c r="S12" i="25"/>
  <c r="J12" i="25"/>
  <c r="H8" i="25"/>
  <c r="H5" i="25"/>
  <c r="W11" i="25"/>
  <c r="R12" i="25"/>
  <c r="I12" i="25"/>
  <c r="W13" i="25"/>
  <c r="R13" i="25"/>
  <c r="I13" i="25"/>
  <c r="Q12" i="25"/>
  <c r="H12" i="25"/>
  <c r="O8" i="25"/>
  <c r="O5" i="25"/>
  <c r="W12" i="25"/>
  <c r="W10" i="21"/>
  <c r="W11" i="21"/>
  <c r="R5" i="21"/>
  <c r="W9" i="21"/>
  <c r="Q32" i="21"/>
  <c r="H31" i="21"/>
  <c r="H47" i="21"/>
  <c r="U43" i="21"/>
  <c r="J41" i="21"/>
  <c r="R43" i="21"/>
  <c r="H29" i="21"/>
  <c r="P33" i="21"/>
  <c r="S41" i="21"/>
  <c r="U37" i="21"/>
  <c r="O43" i="21"/>
  <c r="J43" i="21"/>
  <c r="R30" i="21"/>
  <c r="O41" i="21"/>
  <c r="S37" i="21"/>
  <c r="U46" i="21"/>
  <c r="M43" i="21"/>
  <c r="R4" i="24"/>
  <c r="H3" i="24"/>
  <c r="H14" i="24"/>
  <c r="H11" i="24"/>
  <c r="I19" i="24"/>
  <c r="I18" i="24"/>
  <c r="M22" i="24"/>
  <c r="H18" i="24"/>
  <c r="M14" i="24"/>
  <c r="H15" i="24"/>
  <c r="H5" i="24"/>
  <c r="O14" i="24"/>
  <c r="R22" i="24"/>
  <c r="U18" i="24"/>
  <c r="W19" i="24"/>
  <c r="Q18" i="24"/>
  <c r="I4" i="24"/>
  <c r="P9" i="24"/>
  <c r="U22" i="24"/>
  <c r="I22" i="24"/>
  <c r="P19" i="24"/>
  <c r="H19" i="24"/>
  <c r="O19" i="24"/>
  <c r="P18" i="24"/>
  <c r="O20" i="24"/>
  <c r="O12" i="24"/>
  <c r="M18" i="24"/>
  <c r="H6" i="24"/>
  <c r="O22" i="24"/>
  <c r="P14" i="24"/>
  <c r="N6" i="23"/>
  <c r="U4" i="23"/>
  <c r="M3" i="23"/>
  <c r="M6" i="23"/>
  <c r="S6" i="23"/>
  <c r="P3" i="23"/>
  <c r="H6" i="23"/>
  <c r="U6" i="23"/>
  <c r="U3" i="23"/>
  <c r="W8" i="21"/>
  <c r="P16" i="21"/>
  <c r="P15" i="21"/>
  <c r="W17" i="21"/>
  <c r="O33" i="21"/>
  <c r="Q28" i="21"/>
  <c r="W3" i="21"/>
  <c r="O16" i="21"/>
  <c r="O15" i="21"/>
  <c r="W16" i="21"/>
  <c r="P24" i="21"/>
  <c r="R20" i="21"/>
  <c r="I31" i="21"/>
  <c r="H39" i="21"/>
  <c r="O38" i="21"/>
  <c r="H38" i="21"/>
  <c r="H48" i="21"/>
  <c r="W7" i="21"/>
  <c r="M20" i="21"/>
  <c r="O37" i="21"/>
  <c r="W15" i="21"/>
  <c r="W12" i="21"/>
  <c r="H16" i="21"/>
  <c r="W13" i="21"/>
  <c r="Q31" i="21"/>
  <c r="M37" i="21"/>
  <c r="W14" i="21"/>
  <c r="S24" i="21"/>
  <c r="P31" i="21"/>
  <c r="Q48" i="21"/>
  <c r="U94" i="5"/>
  <c r="S94" i="5"/>
  <c r="R94" i="5"/>
  <c r="Q94" i="5"/>
  <c r="O94" i="5"/>
  <c r="H90" i="5"/>
  <c r="I94" i="5"/>
  <c r="O92" i="5"/>
  <c r="M92" i="5"/>
  <c r="U92" i="5"/>
  <c r="R92" i="5"/>
  <c r="M94" i="5"/>
  <c r="P92" i="5"/>
  <c r="Q90" i="5"/>
  <c r="U98" i="5"/>
  <c r="H92" i="5"/>
  <c r="W97" i="5"/>
  <c r="O98" i="5"/>
  <c r="J92" i="5"/>
  <c r="W96" i="5"/>
  <c r="P97" i="5"/>
  <c r="M98" i="5"/>
  <c r="W95" i="5"/>
  <c r="W94" i="5"/>
  <c r="S95" i="5"/>
  <c r="W93" i="5"/>
  <c r="W92" i="5"/>
  <c r="O96" i="5"/>
  <c r="N92" i="5"/>
  <c r="P90" i="5"/>
  <c r="W90" i="5"/>
  <c r="W91" i="5"/>
  <c r="J94" i="5"/>
  <c r="U13" i="25"/>
  <c r="M13" i="25"/>
  <c r="S10" i="25"/>
  <c r="U9" i="25"/>
  <c r="M9" i="25"/>
  <c r="S6" i="25"/>
  <c r="M5" i="25"/>
  <c r="R10" i="25"/>
  <c r="J10" i="25"/>
  <c r="R6" i="25"/>
  <c r="J6" i="25"/>
  <c r="U12" i="25"/>
  <c r="Q10" i="25"/>
  <c r="I10" i="25"/>
  <c r="U8" i="25"/>
  <c r="Q6" i="25"/>
  <c r="I6" i="25"/>
  <c r="N10" i="25"/>
  <c r="N6" i="25"/>
  <c r="U10" i="25"/>
  <c r="U6" i="25"/>
  <c r="O2" i="25"/>
  <c r="I4" i="25"/>
  <c r="V3" i="25"/>
  <c r="L4" i="25"/>
  <c r="Q4" i="25"/>
  <c r="P4" i="25"/>
  <c r="Q2" i="25"/>
  <c r="I2" i="25"/>
  <c r="N2" i="25"/>
  <c r="S2" i="25"/>
  <c r="H2" i="25"/>
  <c r="Z2" i="25"/>
  <c r="X2" i="25" s="1"/>
  <c r="V2" i="25"/>
  <c r="L2" i="25"/>
  <c r="AG2" i="25"/>
  <c r="J2" i="25" s="1"/>
  <c r="S4" i="25"/>
  <c r="M2" i="25"/>
  <c r="U2" i="25"/>
  <c r="N4" i="25"/>
  <c r="U4" i="25"/>
  <c r="M4" i="25"/>
  <c r="R4" i="25"/>
  <c r="O4" i="25"/>
  <c r="G3" i="25"/>
  <c r="W3" i="25" s="1"/>
  <c r="Z3" i="25"/>
  <c r="X3" i="25" s="1"/>
  <c r="AG4" i="25"/>
  <c r="J4" i="25" s="1"/>
  <c r="Q14" i="24"/>
  <c r="S14" i="24"/>
  <c r="S12" i="24"/>
  <c r="S22" i="24"/>
  <c r="O18" i="24"/>
  <c r="S18" i="24"/>
  <c r="X20" i="24"/>
  <c r="V16" i="24"/>
  <c r="I15" i="24"/>
  <c r="V20" i="24"/>
  <c r="Z20" i="24"/>
  <c r="AA13" i="24"/>
  <c r="AA17" i="24"/>
  <c r="X21" i="24"/>
  <c r="V17" i="24"/>
  <c r="Z17" i="24"/>
  <c r="X17" i="24" s="1"/>
  <c r="V15" i="24"/>
  <c r="V13" i="24"/>
  <c r="V21" i="24"/>
  <c r="I20" i="24"/>
  <c r="Z16" i="24"/>
  <c r="X16" i="24" s="1"/>
  <c r="AA21" i="24"/>
  <c r="M13" i="24"/>
  <c r="S16" i="24"/>
  <c r="W15" i="24"/>
  <c r="P16" i="24"/>
  <c r="U16" i="24"/>
  <c r="W16" i="24"/>
  <c r="N16" i="24"/>
  <c r="O16" i="24"/>
  <c r="H16" i="24"/>
  <c r="Q16" i="24"/>
  <c r="J16" i="24"/>
  <c r="R16" i="24"/>
  <c r="M16" i="24"/>
  <c r="I16" i="24"/>
  <c r="I21" i="24"/>
  <c r="P21" i="24"/>
  <c r="H21" i="24"/>
  <c r="R21" i="24"/>
  <c r="W21" i="24"/>
  <c r="U21" i="24"/>
  <c r="M21" i="24"/>
  <c r="O21" i="24"/>
  <c r="J21" i="24"/>
  <c r="S21" i="24"/>
  <c r="N21" i="24"/>
  <c r="I17" i="24"/>
  <c r="O17" i="24"/>
  <c r="Q17" i="24"/>
  <c r="W17" i="24"/>
  <c r="P17" i="24"/>
  <c r="H17" i="24"/>
  <c r="R17" i="24"/>
  <c r="J17" i="24"/>
  <c r="S17" i="24"/>
  <c r="M17" i="24"/>
  <c r="U17" i="24"/>
  <c r="N12" i="24"/>
  <c r="W20" i="24"/>
  <c r="R14" i="24"/>
  <c r="J14" i="24"/>
  <c r="P12" i="24"/>
  <c r="H12" i="24"/>
  <c r="W12" i="24"/>
  <c r="Q19" i="24"/>
  <c r="N18" i="24"/>
  <c r="M12" i="24"/>
  <c r="W11" i="24"/>
  <c r="N14" i="24"/>
  <c r="U12" i="24"/>
  <c r="P11" i="24"/>
  <c r="R18" i="24"/>
  <c r="J18" i="24"/>
  <c r="O11" i="24"/>
  <c r="P15" i="24"/>
  <c r="S13" i="24"/>
  <c r="R12" i="24"/>
  <c r="J12" i="24"/>
  <c r="N11" i="24"/>
  <c r="W14" i="24"/>
  <c r="O15" i="24"/>
  <c r="O13" i="24"/>
  <c r="Q12" i="24"/>
  <c r="I12" i="24"/>
  <c r="W13" i="24"/>
  <c r="N20" i="24"/>
  <c r="U20" i="24"/>
  <c r="N19" i="24"/>
  <c r="P20" i="24"/>
  <c r="H20" i="24"/>
  <c r="R19" i="24"/>
  <c r="J19" i="24"/>
  <c r="N17" i="24"/>
  <c r="M20" i="24"/>
  <c r="Q21" i="24"/>
  <c r="S20" i="24"/>
  <c r="U19" i="24"/>
  <c r="M19" i="24"/>
  <c r="R20" i="24"/>
  <c r="J20" i="24"/>
  <c r="Q20" i="24"/>
  <c r="N15" i="24"/>
  <c r="R13" i="24"/>
  <c r="J13" i="24"/>
  <c r="U15" i="24"/>
  <c r="M15" i="24"/>
  <c r="Q13" i="24"/>
  <c r="I13" i="24"/>
  <c r="U11" i="24"/>
  <c r="M11" i="24"/>
  <c r="P13" i="24"/>
  <c r="H13" i="24"/>
  <c r="S11" i="24"/>
  <c r="R15" i="24"/>
  <c r="J15" i="24"/>
  <c r="N13" i="24"/>
  <c r="R11" i="24"/>
  <c r="J11" i="24"/>
  <c r="S15" i="24"/>
  <c r="Q15" i="24"/>
  <c r="U13" i="24"/>
  <c r="Q11" i="24"/>
  <c r="O9" i="24"/>
  <c r="S9" i="24"/>
  <c r="X8" i="24"/>
  <c r="AA7" i="24"/>
  <c r="V8" i="24"/>
  <c r="J7" i="24"/>
  <c r="L8" i="24"/>
  <c r="L6" i="24"/>
  <c r="Z8" i="24"/>
  <c r="X6" i="24"/>
  <c r="X5" i="24"/>
  <c r="I6" i="24"/>
  <c r="N7" i="24"/>
  <c r="H7" i="24"/>
  <c r="W7" i="24"/>
  <c r="I7" i="24"/>
  <c r="M7" i="24"/>
  <c r="U7" i="24"/>
  <c r="I10" i="24"/>
  <c r="W10" i="24"/>
  <c r="P10" i="24"/>
  <c r="W2" i="24"/>
  <c r="H10" i="24"/>
  <c r="R10" i="24"/>
  <c r="J10" i="24"/>
  <c r="U10" i="24"/>
  <c r="N10" i="24"/>
  <c r="W9" i="24"/>
  <c r="O10" i="24"/>
  <c r="W6" i="24"/>
  <c r="M10" i="24"/>
  <c r="P6" i="24"/>
  <c r="R6" i="24"/>
  <c r="Q7" i="24"/>
  <c r="U6" i="24"/>
  <c r="S4" i="24"/>
  <c r="S3" i="24"/>
  <c r="S5" i="24"/>
  <c r="W5" i="24"/>
  <c r="O6" i="24"/>
  <c r="O4" i="24"/>
  <c r="G8" i="24"/>
  <c r="U8" i="24" s="1"/>
  <c r="N6" i="24"/>
  <c r="N4" i="24"/>
  <c r="N3" i="24"/>
  <c r="W3" i="24"/>
  <c r="W4" i="24"/>
  <c r="M6" i="24"/>
  <c r="P5" i="24"/>
  <c r="U4" i="24"/>
  <c r="U3" i="24"/>
  <c r="R9" i="24"/>
  <c r="R5" i="24"/>
  <c r="Q9" i="24"/>
  <c r="I9" i="24"/>
  <c r="Q5" i="24"/>
  <c r="I5" i="24"/>
  <c r="N9" i="24"/>
  <c r="N5" i="24"/>
  <c r="S10" i="24"/>
  <c r="U9" i="24"/>
  <c r="M9" i="24"/>
  <c r="S6" i="24"/>
  <c r="U5" i="24"/>
  <c r="M5" i="24"/>
  <c r="Q10" i="24"/>
  <c r="Q6" i="24"/>
  <c r="I2" i="24"/>
  <c r="J2" i="24"/>
  <c r="U2" i="24"/>
  <c r="M2" i="24"/>
  <c r="N2" i="24"/>
  <c r="L2" i="24"/>
  <c r="J9" i="24"/>
  <c r="J5" i="24"/>
  <c r="J4" i="24"/>
  <c r="Z2" i="24"/>
  <c r="AL2" i="24"/>
  <c r="P2" i="24" s="1"/>
  <c r="X2" i="24"/>
  <c r="AN6" i="24"/>
  <c r="O6" i="23"/>
  <c r="Z10" i="23"/>
  <c r="X10" i="23" s="1"/>
  <c r="Z9" i="23"/>
  <c r="X9" i="23" s="1"/>
  <c r="Z8" i="23"/>
  <c r="X8" i="23" s="1"/>
  <c r="V8" i="23"/>
  <c r="Z7" i="23"/>
  <c r="AA10" i="23"/>
  <c r="V7" i="23"/>
  <c r="L12" i="23"/>
  <c r="V10" i="23"/>
  <c r="L8" i="23"/>
  <c r="Z6" i="23"/>
  <c r="X6" i="23" s="1"/>
  <c r="L7" i="23"/>
  <c r="X7" i="23"/>
  <c r="I12" i="23"/>
  <c r="S10" i="23"/>
  <c r="J10" i="23"/>
  <c r="H10" i="23"/>
  <c r="W10" i="23"/>
  <c r="I10" i="23"/>
  <c r="P10" i="23"/>
  <c r="Q10" i="23"/>
  <c r="R10" i="23"/>
  <c r="W9" i="23"/>
  <c r="J9" i="23"/>
  <c r="R9" i="23"/>
  <c r="H9" i="23"/>
  <c r="S9" i="23"/>
  <c r="N9" i="23"/>
  <c r="O9" i="23"/>
  <c r="P9" i="23"/>
  <c r="I9" i="23"/>
  <c r="M9" i="23"/>
  <c r="U9" i="23"/>
  <c r="Q9" i="23"/>
  <c r="I8" i="23"/>
  <c r="S8" i="23"/>
  <c r="H8" i="23"/>
  <c r="R8" i="23"/>
  <c r="W8" i="23"/>
  <c r="M8" i="23"/>
  <c r="U8" i="23"/>
  <c r="O8" i="23"/>
  <c r="J8" i="23"/>
  <c r="N8" i="23"/>
  <c r="P8" i="23"/>
  <c r="Q8" i="23"/>
  <c r="W3" i="23"/>
  <c r="P7" i="23"/>
  <c r="M7" i="23"/>
  <c r="W5" i="23"/>
  <c r="O7" i="23"/>
  <c r="H7" i="23"/>
  <c r="Q7" i="23"/>
  <c r="I7" i="23"/>
  <c r="R7" i="23"/>
  <c r="J7" i="23"/>
  <c r="S7" i="23"/>
  <c r="U7" i="23"/>
  <c r="P4" i="23"/>
  <c r="N12" i="23"/>
  <c r="O4" i="23"/>
  <c r="M12" i="23"/>
  <c r="R6" i="23"/>
  <c r="J6" i="23"/>
  <c r="M4" i="23"/>
  <c r="S3" i="23"/>
  <c r="I3" i="23"/>
  <c r="U12" i="23"/>
  <c r="O11" i="23"/>
  <c r="W12" i="23"/>
  <c r="P11" i="23"/>
  <c r="Q6" i="23"/>
  <c r="Q3" i="23"/>
  <c r="H3" i="23"/>
  <c r="W11" i="23"/>
  <c r="O12" i="23"/>
  <c r="W4" i="23"/>
  <c r="S12" i="23"/>
  <c r="J12" i="23"/>
  <c r="S4" i="23"/>
  <c r="H4" i="23"/>
  <c r="O3" i="23"/>
  <c r="R12" i="23"/>
  <c r="H12" i="23"/>
  <c r="H11" i="23"/>
  <c r="M11" i="23"/>
  <c r="O10" i="23"/>
  <c r="N10" i="23"/>
  <c r="Q12" i="23"/>
  <c r="S11" i="23"/>
  <c r="U10" i="23"/>
  <c r="M10" i="23"/>
  <c r="N11" i="23"/>
  <c r="R11" i="23"/>
  <c r="J11" i="23"/>
  <c r="U11" i="23"/>
  <c r="Q11" i="23"/>
  <c r="S5" i="23"/>
  <c r="R5" i="23"/>
  <c r="J5" i="23"/>
  <c r="Q5" i="23"/>
  <c r="I5" i="23"/>
  <c r="R4" i="23"/>
  <c r="J4" i="23"/>
  <c r="N7" i="23"/>
  <c r="W6" i="23"/>
  <c r="P5" i="23"/>
  <c r="H5" i="23"/>
  <c r="Q4" i="23"/>
  <c r="I4" i="23"/>
  <c r="R3" i="23"/>
  <c r="N5" i="23"/>
  <c r="U5" i="23"/>
  <c r="W2" i="23"/>
  <c r="Z2" i="23"/>
  <c r="X2" i="23" s="1"/>
  <c r="V2" i="23"/>
  <c r="AG2" i="23"/>
  <c r="L2" i="23"/>
  <c r="M2" i="23"/>
  <c r="U2" i="23"/>
  <c r="N2" i="23"/>
  <c r="H2" i="23"/>
  <c r="I2" i="23"/>
  <c r="Q2" i="23"/>
  <c r="J2" i="23"/>
  <c r="R2" i="23"/>
  <c r="O2" i="23"/>
  <c r="P2" i="23"/>
  <c r="AG5" i="22"/>
  <c r="V7" i="22"/>
  <c r="L26" i="22"/>
  <c r="Z7" i="22"/>
  <c r="Z23" i="22"/>
  <c r="X23" i="22" s="1"/>
  <c r="AG16" i="22"/>
  <c r="AA6" i="22"/>
  <c r="Z22" i="22"/>
  <c r="X22" i="22" s="1"/>
  <c r="L25" i="22"/>
  <c r="AA26" i="22"/>
  <c r="AG30" i="22"/>
  <c r="J30" i="22" s="1"/>
  <c r="W17" i="22"/>
  <c r="W21" i="22"/>
  <c r="V27" i="22"/>
  <c r="Z3" i="22"/>
  <c r="X3" i="22" s="1"/>
  <c r="AG8" i="22"/>
  <c r="J8" i="22" s="1"/>
  <c r="L23" i="22"/>
  <c r="L18" i="22"/>
  <c r="Z17" i="22"/>
  <c r="X17" i="22" s="1"/>
  <c r="L27" i="22"/>
  <c r="AG27" i="22"/>
  <c r="J27" i="22" s="1"/>
  <c r="AG18" i="22"/>
  <c r="AA5" i="22"/>
  <c r="V23" i="22"/>
  <c r="V18" i="22"/>
  <c r="AA23" i="22"/>
  <c r="L17" i="22"/>
  <c r="AA18" i="22"/>
  <c r="Z16" i="22"/>
  <c r="X16" i="22" s="1"/>
  <c r="M25" i="22"/>
  <c r="Z30" i="22"/>
  <c r="X30" i="22" s="1"/>
  <c r="AG25" i="22"/>
  <c r="J25" i="22" s="1"/>
  <c r="W12" i="22"/>
  <c r="R12" i="22"/>
  <c r="N12" i="22"/>
  <c r="O12" i="22"/>
  <c r="I18" i="22"/>
  <c r="W18" i="22"/>
  <c r="P18" i="22"/>
  <c r="U18" i="22"/>
  <c r="S18" i="22"/>
  <c r="H18" i="22"/>
  <c r="M18" i="22"/>
  <c r="N18" i="22"/>
  <c r="O18" i="22"/>
  <c r="P24" i="22"/>
  <c r="Q24" i="22"/>
  <c r="H24" i="22"/>
  <c r="W13" i="22"/>
  <c r="I13" i="22"/>
  <c r="N13" i="22"/>
  <c r="O13" i="22"/>
  <c r="H13" i="22"/>
  <c r="S13" i="22"/>
  <c r="Q13" i="22"/>
  <c r="R13" i="22"/>
  <c r="I22" i="22"/>
  <c r="O22" i="22"/>
  <c r="W22" i="22"/>
  <c r="H22" i="22"/>
  <c r="P22" i="22"/>
  <c r="I14" i="22"/>
  <c r="H14" i="22"/>
  <c r="W14" i="22"/>
  <c r="O14" i="22"/>
  <c r="P14" i="22"/>
  <c r="I28" i="22"/>
  <c r="O28" i="22"/>
  <c r="N5" i="22"/>
  <c r="M15" i="22"/>
  <c r="Q15" i="22"/>
  <c r="H15" i="22"/>
  <c r="S15" i="22"/>
  <c r="W15" i="22"/>
  <c r="O15" i="22"/>
  <c r="P15" i="22"/>
  <c r="W6" i="22"/>
  <c r="S10" i="22"/>
  <c r="O10" i="22"/>
  <c r="S20" i="22"/>
  <c r="W20" i="22"/>
  <c r="S26" i="22"/>
  <c r="H26" i="22"/>
  <c r="Q26" i="22"/>
  <c r="U26" i="22"/>
  <c r="W9" i="22"/>
  <c r="Q9" i="22"/>
  <c r="R9" i="22"/>
  <c r="H9" i="22"/>
  <c r="S9" i="22"/>
  <c r="N9" i="22"/>
  <c r="O9" i="22"/>
  <c r="P9" i="22"/>
  <c r="M19" i="22"/>
  <c r="W19" i="22"/>
  <c r="P19" i="22"/>
  <c r="Q19" i="22"/>
  <c r="S19" i="22"/>
  <c r="I19" i="22"/>
  <c r="M9" i="22"/>
  <c r="AG9" i="22"/>
  <c r="J9" i="22" s="1"/>
  <c r="AG17" i="22"/>
  <c r="J17" i="22" s="1"/>
  <c r="W16" i="22"/>
  <c r="AA24" i="22"/>
  <c r="AG2" i="22"/>
  <c r="S23" i="22"/>
  <c r="V22" i="22"/>
  <c r="W23" i="22"/>
  <c r="AG29" i="22"/>
  <c r="J29" i="22" s="1"/>
  <c r="Q23" i="22"/>
  <c r="X7" i="22"/>
  <c r="AG13" i="22"/>
  <c r="J13" i="22" s="1"/>
  <c r="V24" i="22"/>
  <c r="Z29" i="22"/>
  <c r="X29" i="22" s="1"/>
  <c r="V2" i="22"/>
  <c r="AG7" i="22"/>
  <c r="J7" i="22" s="1"/>
  <c r="Z13" i="22"/>
  <c r="X13" i="22" s="1"/>
  <c r="O23" i="22"/>
  <c r="AA8" i="22"/>
  <c r="AA11" i="22"/>
  <c r="AG21" i="22"/>
  <c r="H23" i="22"/>
  <c r="V29" i="22"/>
  <c r="Z26" i="22"/>
  <c r="X26" i="22" s="1"/>
  <c r="L9" i="22"/>
  <c r="P23" i="22"/>
  <c r="X2" i="22"/>
  <c r="L3" i="22"/>
  <c r="AA3" i="22"/>
  <c r="V13" i="22"/>
  <c r="AG11" i="22"/>
  <c r="AA10" i="22"/>
  <c r="Z14" i="22"/>
  <c r="X14" i="22" s="1"/>
  <c r="L29" i="22"/>
  <c r="L2" i="22"/>
  <c r="Z9" i="22"/>
  <c r="AG10" i="22"/>
  <c r="V14" i="22"/>
  <c r="AA9" i="22"/>
  <c r="L24" i="22"/>
  <c r="Z24" i="22"/>
  <c r="X24" i="22" s="1"/>
  <c r="J24" i="22"/>
  <c r="AA30" i="22"/>
  <c r="I27" i="22"/>
  <c r="AA27" i="22"/>
  <c r="V28" i="22"/>
  <c r="AA28" i="22"/>
  <c r="L28" i="22"/>
  <c r="V25" i="22"/>
  <c r="M26" i="22"/>
  <c r="U24" i="22"/>
  <c r="W29" i="22"/>
  <c r="U30" i="22"/>
  <c r="H30" i="22"/>
  <c r="P28" i="22"/>
  <c r="H28" i="22"/>
  <c r="I26" i="22"/>
  <c r="R24" i="22"/>
  <c r="I24" i="22"/>
  <c r="W26" i="22"/>
  <c r="Q30" i="22"/>
  <c r="W25" i="22"/>
  <c r="P30" i="22"/>
  <c r="O30" i="22"/>
  <c r="S29" i="22"/>
  <c r="U28" i="22"/>
  <c r="M28" i="22"/>
  <c r="P26" i="22"/>
  <c r="O24" i="22"/>
  <c r="W24" i="22"/>
  <c r="M30" i="22"/>
  <c r="R29" i="22"/>
  <c r="O26" i="22"/>
  <c r="N24" i="22"/>
  <c r="W30" i="22"/>
  <c r="S28" i="22"/>
  <c r="R28" i="22"/>
  <c r="J28" i="22"/>
  <c r="R25" i="22"/>
  <c r="W28" i="22"/>
  <c r="N28" i="22"/>
  <c r="O29" i="22"/>
  <c r="S25" i="22"/>
  <c r="M24" i="22"/>
  <c r="I30" i="22"/>
  <c r="Q28" i="22"/>
  <c r="S24" i="22"/>
  <c r="W27" i="22"/>
  <c r="S27" i="22"/>
  <c r="O25" i="22"/>
  <c r="R30" i="22"/>
  <c r="P27" i="22"/>
  <c r="H27" i="22"/>
  <c r="R26" i="22"/>
  <c r="J26" i="22"/>
  <c r="N27" i="22"/>
  <c r="Q29" i="22"/>
  <c r="I29" i="22"/>
  <c r="U27" i="22"/>
  <c r="M27" i="22"/>
  <c r="Q25" i="22"/>
  <c r="I25" i="22"/>
  <c r="N30" i="22"/>
  <c r="P29" i="22"/>
  <c r="H29" i="22"/>
  <c r="N26" i="22"/>
  <c r="P25" i="22"/>
  <c r="H25" i="22"/>
  <c r="N29" i="22"/>
  <c r="R27" i="22"/>
  <c r="N25" i="22"/>
  <c r="U29" i="22"/>
  <c r="Q27" i="22"/>
  <c r="U25" i="22"/>
  <c r="I21" i="22"/>
  <c r="O21" i="22"/>
  <c r="P21" i="22"/>
  <c r="H21" i="22"/>
  <c r="U21" i="22"/>
  <c r="M21" i="22"/>
  <c r="I17" i="22"/>
  <c r="M17" i="22"/>
  <c r="H17" i="22"/>
  <c r="O17" i="22"/>
  <c r="P17" i="22"/>
  <c r="U17" i="22"/>
  <c r="AA17" i="22"/>
  <c r="N14" i="22"/>
  <c r="U22" i="22"/>
  <c r="M22" i="22"/>
  <c r="U14" i="22"/>
  <c r="L22" i="22"/>
  <c r="H19" i="22"/>
  <c r="R18" i="22"/>
  <c r="J18" i="22"/>
  <c r="L14" i="22"/>
  <c r="Z21" i="22"/>
  <c r="X21" i="22" s="1"/>
  <c r="V21" i="22"/>
  <c r="M14" i="22"/>
  <c r="I23" i="22"/>
  <c r="S22" i="22"/>
  <c r="Q18" i="22"/>
  <c r="I15" i="22"/>
  <c r="S14" i="22"/>
  <c r="AA21" i="22"/>
  <c r="Z20" i="22"/>
  <c r="X20" i="22" s="1"/>
  <c r="N22" i="22"/>
  <c r="R22" i="22"/>
  <c r="J22" i="22"/>
  <c r="V20" i="22"/>
  <c r="R14" i="22"/>
  <c r="J14" i="22"/>
  <c r="Q22" i="22"/>
  <c r="O20" i="22"/>
  <c r="O16" i="22"/>
  <c r="Q14" i="22"/>
  <c r="R20" i="22"/>
  <c r="J20" i="22"/>
  <c r="R16" i="22"/>
  <c r="J16" i="22"/>
  <c r="Q20" i="22"/>
  <c r="I20" i="22"/>
  <c r="Q16" i="22"/>
  <c r="I16" i="22"/>
  <c r="R23" i="22"/>
  <c r="J23" i="22"/>
  <c r="N21" i="22"/>
  <c r="P20" i="22"/>
  <c r="H20" i="22"/>
  <c r="R19" i="22"/>
  <c r="J19" i="22"/>
  <c r="N17" i="22"/>
  <c r="P16" i="22"/>
  <c r="H16" i="22"/>
  <c r="R15" i="22"/>
  <c r="J15" i="22"/>
  <c r="N20" i="22"/>
  <c r="M20" i="22"/>
  <c r="N23" i="22"/>
  <c r="R21" i="22"/>
  <c r="J21" i="22"/>
  <c r="N19" i="22"/>
  <c r="R17" i="22"/>
  <c r="N15" i="22"/>
  <c r="N16" i="22"/>
  <c r="S21" i="22"/>
  <c r="U20" i="22"/>
  <c r="O19" i="22"/>
  <c r="S17" i="22"/>
  <c r="U16" i="22"/>
  <c r="M16" i="22"/>
  <c r="U23" i="22"/>
  <c r="Q21" i="22"/>
  <c r="U19" i="22"/>
  <c r="Q17" i="22"/>
  <c r="U15" i="22"/>
  <c r="H8" i="22"/>
  <c r="H12" i="22"/>
  <c r="J11" i="22"/>
  <c r="N11" i="22"/>
  <c r="M11" i="22"/>
  <c r="O11" i="22"/>
  <c r="W11" i="22"/>
  <c r="P11" i="22"/>
  <c r="H11" i="22"/>
  <c r="Q11" i="22"/>
  <c r="I11" i="22"/>
  <c r="R11" i="22"/>
  <c r="U11" i="22"/>
  <c r="L11" i="22"/>
  <c r="P13" i="22"/>
  <c r="S8" i="22"/>
  <c r="W8" i="22"/>
  <c r="Z11" i="22"/>
  <c r="X11" i="22" s="1"/>
  <c r="L12" i="22"/>
  <c r="H10" i="22"/>
  <c r="I9" i="22"/>
  <c r="R8" i="22"/>
  <c r="Z10" i="22"/>
  <c r="X10" i="22" s="1"/>
  <c r="U13" i="22"/>
  <c r="M13" i="22"/>
  <c r="V12" i="22"/>
  <c r="J12" i="22"/>
  <c r="X9" i="22"/>
  <c r="N8" i="22"/>
  <c r="Z8" i="22"/>
  <c r="X8" i="22" s="1"/>
  <c r="O8" i="22"/>
  <c r="L13" i="22"/>
  <c r="V9" i="22"/>
  <c r="W10" i="22"/>
  <c r="S12" i="22"/>
  <c r="P10" i="22"/>
  <c r="U9" i="22"/>
  <c r="R10" i="22"/>
  <c r="J10" i="22"/>
  <c r="U12" i="22"/>
  <c r="M12" i="22"/>
  <c r="Q10" i="22"/>
  <c r="I10" i="22"/>
  <c r="M8" i="22"/>
  <c r="Q12" i="22"/>
  <c r="I12" i="22"/>
  <c r="S11" i="22"/>
  <c r="U10" i="22"/>
  <c r="M10" i="22"/>
  <c r="Q8" i="22"/>
  <c r="I8" i="22"/>
  <c r="P12" i="22"/>
  <c r="P8" i="22"/>
  <c r="N10" i="22"/>
  <c r="L7" i="22"/>
  <c r="W2" i="22"/>
  <c r="O7" i="22"/>
  <c r="W3" i="22"/>
  <c r="W5" i="22"/>
  <c r="P7" i="22"/>
  <c r="H7" i="22"/>
  <c r="U7" i="22"/>
  <c r="Q7" i="22"/>
  <c r="S7" i="22"/>
  <c r="I7" i="22"/>
  <c r="W7" i="22"/>
  <c r="N7" i="22"/>
  <c r="W4" i="22"/>
  <c r="M7" i="22"/>
  <c r="R7" i="22"/>
  <c r="Q4" i="22"/>
  <c r="H3" i="22"/>
  <c r="I3" i="22"/>
  <c r="O3" i="22"/>
  <c r="U6" i="22"/>
  <c r="M6" i="22"/>
  <c r="Q6" i="22"/>
  <c r="H6" i="22"/>
  <c r="P6" i="22"/>
  <c r="I6" i="22"/>
  <c r="O6" i="22"/>
  <c r="N6" i="22"/>
  <c r="S6" i="22"/>
  <c r="R6" i="22"/>
  <c r="O2" i="22"/>
  <c r="U2" i="22"/>
  <c r="R2" i="22"/>
  <c r="I2" i="22"/>
  <c r="S2" i="22"/>
  <c r="J2" i="22"/>
  <c r="N2" i="22"/>
  <c r="M2" i="22"/>
  <c r="P2" i="22"/>
  <c r="H2" i="22"/>
  <c r="Q2" i="22"/>
  <c r="R3" i="22"/>
  <c r="U3" i="22"/>
  <c r="M3" i="22"/>
  <c r="N3" i="22"/>
  <c r="Q3" i="22"/>
  <c r="P3" i="22"/>
  <c r="R4" i="22"/>
  <c r="P4" i="22"/>
  <c r="H4" i="22"/>
  <c r="O4" i="22"/>
  <c r="U4" i="22"/>
  <c r="I4" i="22"/>
  <c r="N4" i="22"/>
  <c r="M4" i="22"/>
  <c r="P5" i="22"/>
  <c r="H5" i="22"/>
  <c r="R5" i="22"/>
  <c r="I5" i="22"/>
  <c r="Q5" i="22"/>
  <c r="U5" i="22"/>
  <c r="M5" i="22"/>
  <c r="J5" i="22"/>
  <c r="S5" i="22"/>
  <c r="O5" i="22"/>
  <c r="Z4" i="22"/>
  <c r="X4" i="22" s="1"/>
  <c r="AG4" i="22"/>
  <c r="J4" i="22" s="1"/>
  <c r="AG6" i="22"/>
  <c r="J6" i="22" s="1"/>
  <c r="Z6" i="22"/>
  <c r="X6" i="22" s="1"/>
  <c r="AG3" i="22"/>
  <c r="J3" i="22" s="1"/>
  <c r="V6" i="22"/>
  <c r="V4" i="22"/>
  <c r="X5" i="22"/>
  <c r="L5" i="22"/>
  <c r="S49" i="21"/>
  <c r="W49" i="21"/>
  <c r="O49" i="21"/>
  <c r="W46" i="21"/>
  <c r="W47" i="21"/>
  <c r="M44" i="21"/>
  <c r="O44" i="21"/>
  <c r="P44" i="21"/>
  <c r="Q44" i="21"/>
  <c r="W44" i="21"/>
  <c r="S44" i="21"/>
  <c r="H44" i="21"/>
  <c r="I44" i="21"/>
  <c r="S45" i="21"/>
  <c r="O45" i="21"/>
  <c r="W45" i="21"/>
  <c r="Q43" i="21"/>
  <c r="I43" i="21"/>
  <c r="S48" i="21"/>
  <c r="N47" i="21"/>
  <c r="P43" i="21"/>
  <c r="H43" i="21"/>
  <c r="P48" i="21"/>
  <c r="N43" i="21"/>
  <c r="W43" i="21"/>
  <c r="R47" i="21"/>
  <c r="J47" i="21"/>
  <c r="M46" i="21"/>
  <c r="W48" i="21"/>
  <c r="I48" i="21"/>
  <c r="Q47" i="21"/>
  <c r="I47" i="21"/>
  <c r="N45" i="21"/>
  <c r="O48" i="21"/>
  <c r="U45" i="21"/>
  <c r="R49" i="21"/>
  <c r="J49" i="21"/>
  <c r="P46" i="21"/>
  <c r="H46" i="21"/>
  <c r="R45" i="21"/>
  <c r="J45" i="21"/>
  <c r="Q49" i="21"/>
  <c r="I49" i="21"/>
  <c r="Q45" i="21"/>
  <c r="I45" i="21"/>
  <c r="P49" i="21"/>
  <c r="H49" i="21"/>
  <c r="R48" i="21"/>
  <c r="J48" i="21"/>
  <c r="N46" i="21"/>
  <c r="P45" i="21"/>
  <c r="H45" i="21"/>
  <c r="R44" i="21"/>
  <c r="J44" i="21"/>
  <c r="N49" i="21"/>
  <c r="M49" i="21"/>
  <c r="S46" i="21"/>
  <c r="N48" i="21"/>
  <c r="R46" i="21"/>
  <c r="J46" i="21"/>
  <c r="N44" i="21"/>
  <c r="U49" i="21"/>
  <c r="M45" i="21"/>
  <c r="U48" i="21"/>
  <c r="Q46" i="21"/>
  <c r="U44" i="21"/>
  <c r="J39" i="21"/>
  <c r="W38" i="21"/>
  <c r="S42" i="21"/>
  <c r="W37" i="21"/>
  <c r="M42" i="21"/>
  <c r="U42" i="21"/>
  <c r="N42" i="21"/>
  <c r="O42" i="21"/>
  <c r="H42" i="21"/>
  <c r="P42" i="21"/>
  <c r="I42" i="21"/>
  <c r="Q42" i="21"/>
  <c r="W42" i="21"/>
  <c r="J42" i="21"/>
  <c r="R42" i="21"/>
  <c r="H40" i="21"/>
  <c r="O40" i="21"/>
  <c r="W40" i="21"/>
  <c r="J35" i="21"/>
  <c r="I35" i="21"/>
  <c r="W35" i="21"/>
  <c r="H35" i="21"/>
  <c r="O35" i="21"/>
  <c r="P35" i="21"/>
  <c r="Q35" i="21"/>
  <c r="R41" i="21"/>
  <c r="Q39" i="21"/>
  <c r="N37" i="21"/>
  <c r="O36" i="21"/>
  <c r="W41" i="21"/>
  <c r="N41" i="21"/>
  <c r="O39" i="21"/>
  <c r="U38" i="21"/>
  <c r="W39" i="21"/>
  <c r="U41" i="21"/>
  <c r="I39" i="21"/>
  <c r="W36" i="21"/>
  <c r="M40" i="21"/>
  <c r="N39" i="21"/>
  <c r="N35" i="21"/>
  <c r="Q41" i="21"/>
  <c r="I41" i="21"/>
  <c r="S40" i="21"/>
  <c r="U39" i="21"/>
  <c r="M39" i="21"/>
  <c r="Q37" i="21"/>
  <c r="I37" i="21"/>
  <c r="S36" i="21"/>
  <c r="U35" i="21"/>
  <c r="M35" i="21"/>
  <c r="N36" i="21"/>
  <c r="P41" i="21"/>
  <c r="R40" i="21"/>
  <c r="J40" i="21"/>
  <c r="P37" i="21"/>
  <c r="R36" i="21"/>
  <c r="J36" i="21"/>
  <c r="M36" i="21"/>
  <c r="Q40" i="21"/>
  <c r="I40" i="21"/>
  <c r="S39" i="21"/>
  <c r="Q36" i="21"/>
  <c r="I36" i="21"/>
  <c r="S35" i="21"/>
  <c r="N40" i="21"/>
  <c r="U40" i="21"/>
  <c r="U36" i="21"/>
  <c r="P40" i="21"/>
  <c r="R39" i="21"/>
  <c r="P36" i="21"/>
  <c r="R35" i="21"/>
  <c r="N27" i="21"/>
  <c r="O27" i="21"/>
  <c r="H27" i="21"/>
  <c r="P27" i="21"/>
  <c r="U27" i="21"/>
  <c r="I27" i="21"/>
  <c r="Q27" i="21"/>
  <c r="J27" i="21"/>
  <c r="R27" i="21"/>
  <c r="S27" i="21"/>
  <c r="M27" i="21"/>
  <c r="I34" i="21"/>
  <c r="W34" i="21"/>
  <c r="N34" i="21"/>
  <c r="O34" i="21"/>
  <c r="P34" i="21"/>
  <c r="M34" i="21"/>
  <c r="H34" i="21"/>
  <c r="R34" i="21"/>
  <c r="J34" i="21"/>
  <c r="S34" i="21"/>
  <c r="U34" i="21"/>
  <c r="W33" i="21"/>
  <c r="I26" i="21"/>
  <c r="N26" i="21"/>
  <c r="O26" i="21"/>
  <c r="P26" i="21"/>
  <c r="M26" i="21"/>
  <c r="H26" i="21"/>
  <c r="R26" i="21"/>
  <c r="J26" i="21"/>
  <c r="S26" i="21"/>
  <c r="U26" i="21"/>
  <c r="P30" i="21"/>
  <c r="W32" i="21"/>
  <c r="P32" i="21"/>
  <c r="O30" i="21"/>
  <c r="J28" i="21"/>
  <c r="W31" i="21"/>
  <c r="O32" i="21"/>
  <c r="N31" i="21"/>
  <c r="N30" i="21"/>
  <c r="I28" i="21"/>
  <c r="W30" i="21"/>
  <c r="H33" i="21"/>
  <c r="U31" i="21"/>
  <c r="M31" i="21"/>
  <c r="M30" i="21"/>
  <c r="P29" i="21"/>
  <c r="R28" i="21"/>
  <c r="H28" i="21"/>
  <c r="W29" i="21"/>
  <c r="U30" i="21"/>
  <c r="O29" i="21"/>
  <c r="W28" i="21"/>
  <c r="J32" i="21"/>
  <c r="S31" i="21"/>
  <c r="P28" i="21"/>
  <c r="I32" i="21"/>
  <c r="R31" i="21"/>
  <c r="S30" i="21"/>
  <c r="J30" i="21"/>
  <c r="O28" i="21"/>
  <c r="M29" i="21"/>
  <c r="N32" i="21"/>
  <c r="N28" i="21"/>
  <c r="Q34" i="21"/>
  <c r="S33" i="21"/>
  <c r="U32" i="21"/>
  <c r="M32" i="21"/>
  <c r="Q30" i="21"/>
  <c r="S29" i="21"/>
  <c r="U28" i="21"/>
  <c r="M28" i="21"/>
  <c r="Q26" i="21"/>
  <c r="N33" i="21"/>
  <c r="U33" i="21"/>
  <c r="R33" i="21"/>
  <c r="J33" i="21"/>
  <c r="R29" i="21"/>
  <c r="J29" i="21"/>
  <c r="N29" i="21"/>
  <c r="M33" i="21"/>
  <c r="U29" i="21"/>
  <c r="Q33" i="21"/>
  <c r="Q29" i="21"/>
  <c r="I23" i="21"/>
  <c r="W23" i="21"/>
  <c r="P23" i="21"/>
  <c r="O23" i="21"/>
  <c r="H23" i="21"/>
  <c r="M25" i="21"/>
  <c r="I25" i="21"/>
  <c r="R25" i="21"/>
  <c r="J25" i="21"/>
  <c r="S25" i="21"/>
  <c r="W25" i="21"/>
  <c r="N25" i="21"/>
  <c r="O25" i="21"/>
  <c r="P25" i="21"/>
  <c r="H25" i="21"/>
  <c r="Q25" i="21"/>
  <c r="M21" i="21"/>
  <c r="W21" i="21"/>
  <c r="U21" i="21"/>
  <c r="N21" i="21"/>
  <c r="O21" i="21"/>
  <c r="Q21" i="21"/>
  <c r="R21" i="21"/>
  <c r="I21" i="21"/>
  <c r="S21" i="21"/>
  <c r="J21" i="21"/>
  <c r="W24" i="21"/>
  <c r="X24" i="21"/>
  <c r="J22" i="21"/>
  <c r="P20" i="21"/>
  <c r="W20" i="21"/>
  <c r="Z23" i="21"/>
  <c r="X23" i="21"/>
  <c r="I22" i="21"/>
  <c r="U24" i="21"/>
  <c r="M24" i="21"/>
  <c r="V23" i="21"/>
  <c r="R22" i="21"/>
  <c r="H22" i="21"/>
  <c r="N20" i="21"/>
  <c r="P22" i="21"/>
  <c r="W22" i="21"/>
  <c r="J24" i="21"/>
  <c r="O22" i="21"/>
  <c r="S20" i="21"/>
  <c r="N23" i="21"/>
  <c r="U23" i="21"/>
  <c r="N22" i="21"/>
  <c r="P21" i="21"/>
  <c r="H21" i="21"/>
  <c r="J20" i="21"/>
  <c r="M23" i="21"/>
  <c r="S23" i="21"/>
  <c r="U22" i="21"/>
  <c r="M22" i="21"/>
  <c r="R23" i="21"/>
  <c r="J23" i="21"/>
  <c r="U25" i="21"/>
  <c r="Q23" i="21"/>
  <c r="M19" i="21"/>
  <c r="U19" i="21"/>
  <c r="O19" i="21"/>
  <c r="P19" i="21"/>
  <c r="J19" i="21"/>
  <c r="S19" i="21"/>
  <c r="N19" i="21"/>
  <c r="H19" i="21"/>
  <c r="I19" i="21"/>
  <c r="Q19" i="21"/>
  <c r="R19" i="21"/>
  <c r="O13" i="21"/>
  <c r="I13" i="21"/>
  <c r="Q13" i="21"/>
  <c r="R13" i="21"/>
  <c r="U13" i="21"/>
  <c r="N13" i="21"/>
  <c r="H13" i="21"/>
  <c r="P13" i="21"/>
  <c r="J13" i="21"/>
  <c r="S13" i="21"/>
  <c r="M13" i="21"/>
  <c r="N18" i="21"/>
  <c r="O18" i="21"/>
  <c r="H18" i="21"/>
  <c r="S18" i="21"/>
  <c r="M18" i="21"/>
  <c r="U18" i="21"/>
  <c r="P18" i="21"/>
  <c r="I18" i="21"/>
  <c r="Q18" i="21"/>
  <c r="J18" i="21"/>
  <c r="R18" i="21"/>
  <c r="N15" i="21"/>
  <c r="U14" i="21"/>
  <c r="L13" i="21"/>
  <c r="Z19" i="21"/>
  <c r="N16" i="21"/>
  <c r="U15" i="21"/>
  <c r="L14" i="21"/>
  <c r="X19" i="21"/>
  <c r="N17" i="21"/>
  <c r="U16" i="21"/>
  <c r="S14" i="21"/>
  <c r="AA13" i="21"/>
  <c r="V19" i="21"/>
  <c r="S16" i="21"/>
  <c r="AA15" i="21"/>
  <c r="R15" i="21"/>
  <c r="J15" i="21"/>
  <c r="Z14" i="21"/>
  <c r="X14" i="21" s="1"/>
  <c r="Q14" i="21"/>
  <c r="I14" i="21"/>
  <c r="X13" i="21"/>
  <c r="L19" i="21"/>
  <c r="N14" i="21"/>
  <c r="AA19" i="21"/>
  <c r="M14" i="21"/>
  <c r="M15" i="21"/>
  <c r="M16" i="21"/>
  <c r="L15" i="21"/>
  <c r="U17" i="21"/>
  <c r="M17" i="21"/>
  <c r="L16" i="21"/>
  <c r="S15" i="21"/>
  <c r="AA14" i="21"/>
  <c r="R14" i="21"/>
  <c r="J14" i="21"/>
  <c r="R16" i="21"/>
  <c r="Q15" i="21"/>
  <c r="P14" i="21"/>
  <c r="X11" i="21"/>
  <c r="X7" i="21"/>
  <c r="I12" i="21"/>
  <c r="Q12" i="21"/>
  <c r="U12" i="21"/>
  <c r="J12" i="21"/>
  <c r="R12" i="21"/>
  <c r="S12" i="21"/>
  <c r="M12" i="21"/>
  <c r="N12" i="21"/>
  <c r="O12" i="21"/>
  <c r="H12" i="21"/>
  <c r="P12" i="21"/>
  <c r="I8" i="21"/>
  <c r="Q8" i="21"/>
  <c r="J8" i="21"/>
  <c r="R8" i="21"/>
  <c r="S8" i="21"/>
  <c r="M8" i="21"/>
  <c r="U8" i="21"/>
  <c r="N8" i="21"/>
  <c r="O8" i="21"/>
  <c r="H8" i="21"/>
  <c r="P8" i="21"/>
  <c r="O7" i="21"/>
  <c r="Q7" i="21"/>
  <c r="H7" i="21"/>
  <c r="P7" i="21"/>
  <c r="I7" i="21"/>
  <c r="J7" i="21"/>
  <c r="R7" i="21"/>
  <c r="S7" i="21"/>
  <c r="M7" i="21"/>
  <c r="U7" i="21"/>
  <c r="N7" i="21"/>
  <c r="M10" i="21"/>
  <c r="U10" i="21"/>
  <c r="N10" i="21"/>
  <c r="O10" i="21"/>
  <c r="H10" i="21"/>
  <c r="P10" i="21"/>
  <c r="I10" i="21"/>
  <c r="Q10" i="21"/>
  <c r="J10" i="21"/>
  <c r="R10" i="21"/>
  <c r="S10" i="21"/>
  <c r="O11" i="21"/>
  <c r="Q11" i="21"/>
  <c r="H11" i="21"/>
  <c r="P11" i="21"/>
  <c r="I11" i="21"/>
  <c r="J11" i="21"/>
  <c r="R11" i="21"/>
  <c r="S11" i="21"/>
  <c r="M11" i="21"/>
  <c r="U11" i="21"/>
  <c r="N11" i="21"/>
  <c r="Q9" i="21"/>
  <c r="I9" i="21"/>
  <c r="V12" i="21"/>
  <c r="L11" i="21"/>
  <c r="AA10" i="21"/>
  <c r="P9" i="21"/>
  <c r="H9" i="21"/>
  <c r="V8" i="21"/>
  <c r="L7" i="21"/>
  <c r="Z10" i="21"/>
  <c r="X10" i="21" s="1"/>
  <c r="L12" i="21"/>
  <c r="N9" i="21"/>
  <c r="L8" i="21"/>
  <c r="M9" i="21"/>
  <c r="AA12" i="21"/>
  <c r="AA8" i="21"/>
  <c r="U9" i="21"/>
  <c r="W5" i="21"/>
  <c r="W6" i="21"/>
  <c r="S4" i="21"/>
  <c r="W4" i="21"/>
  <c r="N4" i="21"/>
  <c r="O2" i="21"/>
  <c r="W2" i="21"/>
  <c r="O6" i="21"/>
  <c r="S6" i="21"/>
  <c r="P6" i="21"/>
  <c r="U5" i="21"/>
  <c r="L6" i="21"/>
  <c r="X5" i="21"/>
  <c r="M2" i="21"/>
  <c r="N2" i="21"/>
  <c r="Q2" i="21"/>
  <c r="J4" i="21"/>
  <c r="H2" i="21"/>
  <c r="N3" i="21"/>
  <c r="U3" i="21"/>
  <c r="M3" i="21"/>
  <c r="R3" i="21"/>
  <c r="Q3" i="21"/>
  <c r="I3" i="21"/>
  <c r="P3" i="21"/>
  <c r="H3" i="21"/>
  <c r="O3" i="21"/>
  <c r="S3" i="21"/>
  <c r="R4" i="21"/>
  <c r="I5" i="21"/>
  <c r="R6" i="21"/>
  <c r="Q6" i="21"/>
  <c r="I6" i="21"/>
  <c r="N6" i="21"/>
  <c r="U6" i="21"/>
  <c r="M6" i="21"/>
  <c r="V2" i="21"/>
  <c r="I2" i="21"/>
  <c r="Z2" i="21"/>
  <c r="X2" i="21" s="1"/>
  <c r="P2" i="21"/>
  <c r="V3" i="21"/>
  <c r="AG3" i="21"/>
  <c r="J3" i="21" s="1"/>
  <c r="Z3" i="21"/>
  <c r="X3" i="21" s="1"/>
  <c r="J5" i="21"/>
  <c r="H6" i="21"/>
  <c r="U2" i="21"/>
  <c r="S5" i="21"/>
  <c r="P5" i="21"/>
  <c r="H5" i="21"/>
  <c r="O5" i="21"/>
  <c r="N5" i="21"/>
  <c r="L2" i="21"/>
  <c r="U4" i="21"/>
  <c r="M4" i="21"/>
  <c r="Q4" i="21"/>
  <c r="I4" i="21"/>
  <c r="P4" i="21"/>
  <c r="H4" i="21"/>
  <c r="O4" i="21"/>
  <c r="Q5" i="21"/>
  <c r="J2" i="21"/>
  <c r="R2" i="21"/>
  <c r="AG6" i="21"/>
  <c r="J6" i="21" s="1"/>
  <c r="S2" i="21"/>
  <c r="Z4" i="21"/>
  <c r="X4" i="21" s="1"/>
  <c r="V6" i="21"/>
  <c r="Z6" i="21"/>
  <c r="X6" i="21" s="1"/>
  <c r="M84" i="20"/>
  <c r="U84" i="20"/>
  <c r="N84" i="20"/>
  <c r="W84" i="20"/>
  <c r="O84" i="20"/>
  <c r="H84" i="20"/>
  <c r="P84" i="20"/>
  <c r="I84" i="20"/>
  <c r="Q84" i="20"/>
  <c r="J84" i="20"/>
  <c r="R84" i="20"/>
  <c r="S84" i="20"/>
  <c r="S80" i="20"/>
  <c r="M80" i="20"/>
  <c r="U80" i="20"/>
  <c r="R80" i="20"/>
  <c r="N80" i="20"/>
  <c r="O80" i="20"/>
  <c r="H80" i="20"/>
  <c r="P80" i="20"/>
  <c r="W80" i="20"/>
  <c r="I80" i="20"/>
  <c r="Q80" i="20"/>
  <c r="J80" i="20"/>
  <c r="N87" i="20"/>
  <c r="M87" i="20"/>
  <c r="P87" i="20"/>
  <c r="S87" i="20"/>
  <c r="O87" i="20"/>
  <c r="W87" i="20"/>
  <c r="H87" i="20"/>
  <c r="U87" i="20"/>
  <c r="N79" i="20"/>
  <c r="H79" i="20"/>
  <c r="U79" i="20"/>
  <c r="M79" i="20"/>
  <c r="W79" i="20"/>
  <c r="O79" i="20"/>
  <c r="P79" i="20"/>
  <c r="S79" i="20"/>
  <c r="H82" i="20"/>
  <c r="W82" i="20"/>
  <c r="O82" i="20"/>
  <c r="H78" i="20"/>
  <c r="W78" i="20"/>
  <c r="O78" i="20"/>
  <c r="X84" i="20"/>
  <c r="J81" i="20"/>
  <c r="O81" i="20"/>
  <c r="P81" i="20"/>
  <c r="I81" i="20"/>
  <c r="Q81" i="20"/>
  <c r="H81" i="20"/>
  <c r="W81" i="20"/>
  <c r="V87" i="20"/>
  <c r="V81" i="20"/>
  <c r="V78" i="20"/>
  <c r="Q77" i="20"/>
  <c r="W77" i="20"/>
  <c r="X85" i="20"/>
  <c r="I85" i="20"/>
  <c r="S83" i="20"/>
  <c r="P77" i="20"/>
  <c r="AA86" i="20"/>
  <c r="AA84" i="20"/>
  <c r="AA82" i="20"/>
  <c r="AA80" i="20"/>
  <c r="AA78" i="20"/>
  <c r="V85" i="20"/>
  <c r="H85" i="20"/>
  <c r="P83" i="20"/>
  <c r="V82" i="20"/>
  <c r="X80" i="20"/>
  <c r="L78" i="20"/>
  <c r="O77" i="20"/>
  <c r="W86" i="20"/>
  <c r="Z86" i="20"/>
  <c r="Z84" i="20"/>
  <c r="Z82" i="20"/>
  <c r="X82" i="20" s="1"/>
  <c r="Z80" i="20"/>
  <c r="X86" i="20"/>
  <c r="V80" i="20"/>
  <c r="W85" i="20"/>
  <c r="V86" i="20"/>
  <c r="Q85" i="20"/>
  <c r="V79" i="20"/>
  <c r="O86" i="20"/>
  <c r="P85" i="20"/>
  <c r="V84" i="20"/>
  <c r="X83" i="20"/>
  <c r="L83" i="20"/>
  <c r="L81" i="20"/>
  <c r="X77" i="20"/>
  <c r="I77" i="20"/>
  <c r="W83" i="20"/>
  <c r="AA87" i="20"/>
  <c r="AA85" i="20"/>
  <c r="AA83" i="20"/>
  <c r="AA81" i="20"/>
  <c r="AA79" i="20"/>
  <c r="AA77" i="20"/>
  <c r="M83" i="20"/>
  <c r="O85" i="20"/>
  <c r="V83" i="20"/>
  <c r="V77" i="20"/>
  <c r="H77" i="20"/>
  <c r="M86" i="20"/>
  <c r="R87" i="20"/>
  <c r="J87" i="20"/>
  <c r="N85" i="20"/>
  <c r="R83" i="20"/>
  <c r="J83" i="20"/>
  <c r="N81" i="20"/>
  <c r="R79" i="20"/>
  <c r="J79" i="20"/>
  <c r="N77" i="20"/>
  <c r="U86" i="20"/>
  <c r="U82" i="20"/>
  <c r="M82" i="20"/>
  <c r="U78" i="20"/>
  <c r="M78" i="20"/>
  <c r="Q87" i="20"/>
  <c r="I87" i="20"/>
  <c r="S86" i="20"/>
  <c r="U85" i="20"/>
  <c r="M85" i="20"/>
  <c r="Q83" i="20"/>
  <c r="I83" i="20"/>
  <c r="S82" i="20"/>
  <c r="U81" i="20"/>
  <c r="M81" i="20"/>
  <c r="Q79" i="20"/>
  <c r="I79" i="20"/>
  <c r="S78" i="20"/>
  <c r="U77" i="20"/>
  <c r="M77" i="20"/>
  <c r="N86" i="20"/>
  <c r="N82" i="20"/>
  <c r="N78" i="20"/>
  <c r="R86" i="20"/>
  <c r="J86" i="20"/>
  <c r="R82" i="20"/>
  <c r="J82" i="20"/>
  <c r="Q86" i="20"/>
  <c r="I86" i="20"/>
  <c r="S85" i="20"/>
  <c r="Q82" i="20"/>
  <c r="I82" i="20"/>
  <c r="S81" i="20"/>
  <c r="Q78" i="20"/>
  <c r="I78" i="20"/>
  <c r="S77" i="20"/>
  <c r="R78" i="20"/>
  <c r="J78" i="20"/>
  <c r="P86" i="20"/>
  <c r="R85" i="20"/>
  <c r="P82" i="20"/>
  <c r="R81" i="20"/>
  <c r="P78" i="20"/>
  <c r="R77" i="20"/>
  <c r="H74" i="20"/>
  <c r="N76" i="20"/>
  <c r="J76" i="20"/>
  <c r="R76" i="20"/>
  <c r="O76" i="20"/>
  <c r="H76" i="20"/>
  <c r="P76" i="20"/>
  <c r="I76" i="20"/>
  <c r="Q76" i="20"/>
  <c r="S76" i="20"/>
  <c r="W76" i="20"/>
  <c r="M76" i="20"/>
  <c r="U76" i="20"/>
  <c r="H70" i="20"/>
  <c r="W70" i="20"/>
  <c r="J69" i="20"/>
  <c r="H69" i="20"/>
  <c r="I69" i="20"/>
  <c r="P69" i="20"/>
  <c r="Q69" i="20"/>
  <c r="W69" i="20"/>
  <c r="L76" i="20"/>
  <c r="X73" i="20"/>
  <c r="I73" i="20"/>
  <c r="R72" i="20"/>
  <c r="J72" i="20"/>
  <c r="S71" i="20"/>
  <c r="X70" i="20"/>
  <c r="V73" i="20"/>
  <c r="H73" i="20"/>
  <c r="Q72" i="20"/>
  <c r="I72" i="20"/>
  <c r="P71" i="20"/>
  <c r="V70" i="20"/>
  <c r="W75" i="20"/>
  <c r="AA76" i="20"/>
  <c r="AA74" i="20"/>
  <c r="AA72" i="20"/>
  <c r="AA70" i="20"/>
  <c r="W73" i="20"/>
  <c r="O74" i="20"/>
  <c r="P73" i="20"/>
  <c r="V72" i="20"/>
  <c r="N72" i="20"/>
  <c r="X71" i="20"/>
  <c r="L71" i="20"/>
  <c r="W72" i="20"/>
  <c r="W74" i="20"/>
  <c r="Z72" i="20"/>
  <c r="X72" i="20" s="1"/>
  <c r="X76" i="20"/>
  <c r="M75" i="20"/>
  <c r="L74" i="20"/>
  <c r="O73" i="20"/>
  <c r="U72" i="20"/>
  <c r="M72" i="20"/>
  <c r="V71" i="20"/>
  <c r="X69" i="20"/>
  <c r="W71" i="20"/>
  <c r="AA75" i="20"/>
  <c r="AA73" i="20"/>
  <c r="AA71" i="20"/>
  <c r="AA69" i="20"/>
  <c r="O71" i="20"/>
  <c r="Z76" i="20"/>
  <c r="Z74" i="20"/>
  <c r="X74" i="20" s="1"/>
  <c r="Q73" i="20"/>
  <c r="M71" i="20"/>
  <c r="X75" i="20"/>
  <c r="L75" i="20"/>
  <c r="L73" i="20"/>
  <c r="U71" i="20"/>
  <c r="H71" i="20"/>
  <c r="V69" i="20"/>
  <c r="O70" i="20"/>
  <c r="M74" i="20"/>
  <c r="M70" i="20"/>
  <c r="R75" i="20"/>
  <c r="J75" i="20"/>
  <c r="N73" i="20"/>
  <c r="R71" i="20"/>
  <c r="J71" i="20"/>
  <c r="N69" i="20"/>
  <c r="N74" i="20"/>
  <c r="N70" i="20"/>
  <c r="U74" i="20"/>
  <c r="U70" i="20"/>
  <c r="O69" i="20"/>
  <c r="Q75" i="20"/>
  <c r="I75" i="20"/>
  <c r="S74" i="20"/>
  <c r="U73" i="20"/>
  <c r="M73" i="20"/>
  <c r="Q71" i="20"/>
  <c r="I71" i="20"/>
  <c r="S70" i="20"/>
  <c r="U69" i="20"/>
  <c r="M69" i="20"/>
  <c r="Q74" i="20"/>
  <c r="I74" i="20"/>
  <c r="S73" i="20"/>
  <c r="Q70" i="20"/>
  <c r="I70" i="20"/>
  <c r="S69" i="20"/>
  <c r="R74" i="20"/>
  <c r="J74" i="20"/>
  <c r="R70" i="20"/>
  <c r="J70" i="20"/>
  <c r="P74" i="20"/>
  <c r="R73" i="20"/>
  <c r="P70" i="20"/>
  <c r="R69" i="20"/>
  <c r="H67" i="20"/>
  <c r="R67" i="20"/>
  <c r="I63" i="20"/>
  <c r="M61" i="20"/>
  <c r="U68" i="20"/>
  <c r="L68" i="20"/>
  <c r="L67" i="20"/>
  <c r="X62" i="20"/>
  <c r="I65" i="20"/>
  <c r="I62" i="20"/>
  <c r="L60" i="20"/>
  <c r="P68" i="20"/>
  <c r="X67" i="20"/>
  <c r="W64" i="20"/>
  <c r="V66" i="20"/>
  <c r="U64" i="20"/>
  <c r="J64" i="20"/>
  <c r="O68" i="20"/>
  <c r="X66" i="20"/>
  <c r="AA68" i="20"/>
  <c r="AA66" i="20"/>
  <c r="AA64" i="20"/>
  <c r="AA62" i="20"/>
  <c r="AA60" i="20"/>
  <c r="Q68" i="20"/>
  <c r="W68" i="20"/>
  <c r="Q61" i="20"/>
  <c r="N68" i="20"/>
  <c r="X64" i="20"/>
  <c r="J65" i="20"/>
  <c r="H65" i="20"/>
  <c r="O67" i="20"/>
  <c r="W62" i="20"/>
  <c r="Q65" i="20"/>
  <c r="I64" i="20"/>
  <c r="H62" i="20"/>
  <c r="M60" i="20"/>
  <c r="J67" i="20"/>
  <c r="R65" i="20"/>
  <c r="P65" i="20"/>
  <c r="W65" i="20"/>
  <c r="I66" i="20"/>
  <c r="O63" i="20"/>
  <c r="S61" i="20"/>
  <c r="I61" i="20"/>
  <c r="H66" i="20"/>
  <c r="O65" i="20"/>
  <c r="V64" i="20"/>
  <c r="L64" i="20"/>
  <c r="L63" i="20"/>
  <c r="L62" i="20"/>
  <c r="R61" i="20"/>
  <c r="H61" i="20"/>
  <c r="Q60" i="20"/>
  <c r="X68" i="20"/>
  <c r="N67" i="20"/>
  <c r="W67" i="20"/>
  <c r="P61" i="20"/>
  <c r="O61" i="20"/>
  <c r="P66" i="20"/>
  <c r="S65" i="20"/>
  <c r="V62" i="20"/>
  <c r="L61" i="20"/>
  <c r="U60" i="20"/>
  <c r="S67" i="20"/>
  <c r="W63" i="20"/>
  <c r="W66" i="20"/>
  <c r="L66" i="20"/>
  <c r="X63" i="20"/>
  <c r="X61" i="20"/>
  <c r="J60" i="20"/>
  <c r="J68" i="20"/>
  <c r="I67" i="20"/>
  <c r="Q66" i="20"/>
  <c r="M65" i="20"/>
  <c r="P62" i="20"/>
  <c r="J61" i="20"/>
  <c r="S60" i="20"/>
  <c r="I60" i="20"/>
  <c r="I68" i="20"/>
  <c r="P67" i="20"/>
  <c r="W60" i="20"/>
  <c r="W61" i="20"/>
  <c r="U67" i="20"/>
  <c r="M67" i="20"/>
  <c r="Q67" i="20"/>
  <c r="N63" i="20"/>
  <c r="O66" i="20"/>
  <c r="U63" i="20"/>
  <c r="M63" i="20"/>
  <c r="N66" i="20"/>
  <c r="U66" i="20"/>
  <c r="R66" i="20"/>
  <c r="J66" i="20"/>
  <c r="N64" i="20"/>
  <c r="P63" i="20"/>
  <c r="H63" i="20"/>
  <c r="R62" i="20"/>
  <c r="J62" i="20"/>
  <c r="N60" i="20"/>
  <c r="M66" i="20"/>
  <c r="S63" i="20"/>
  <c r="N65" i="20"/>
  <c r="P64" i="20"/>
  <c r="R63" i="20"/>
  <c r="J63" i="20"/>
  <c r="N61" i="20"/>
  <c r="P60" i="20"/>
  <c r="N62" i="20"/>
  <c r="U62" i="20"/>
  <c r="M62" i="20"/>
  <c r="U65" i="20"/>
  <c r="Q63" i="20"/>
  <c r="U61" i="20"/>
  <c r="M58" i="20"/>
  <c r="W58" i="20"/>
  <c r="P58" i="20"/>
  <c r="J58" i="20"/>
  <c r="R58" i="20"/>
  <c r="H58" i="20"/>
  <c r="N58" i="20"/>
  <c r="O58" i="20"/>
  <c r="I56" i="20"/>
  <c r="P56" i="20"/>
  <c r="O56" i="20"/>
  <c r="R56" i="20"/>
  <c r="S56" i="20"/>
  <c r="H56" i="20"/>
  <c r="W56" i="20"/>
  <c r="J56" i="20"/>
  <c r="M54" i="20"/>
  <c r="N54" i="20"/>
  <c r="P54" i="20"/>
  <c r="O54" i="20"/>
  <c r="W54" i="20"/>
  <c r="H54" i="20"/>
  <c r="S59" i="20"/>
  <c r="J59" i="20"/>
  <c r="R59" i="20"/>
  <c r="W59" i="20"/>
  <c r="U59" i="20"/>
  <c r="M59" i="20"/>
  <c r="N59" i="20"/>
  <c r="O59" i="20"/>
  <c r="H59" i="20"/>
  <c r="P59" i="20"/>
  <c r="I59" i="20"/>
  <c r="Q59" i="20"/>
  <c r="O57" i="20"/>
  <c r="Q57" i="20"/>
  <c r="H57" i="20"/>
  <c r="P57" i="20"/>
  <c r="I57" i="20"/>
  <c r="J57" i="20"/>
  <c r="R57" i="20"/>
  <c r="S57" i="20"/>
  <c r="M57" i="20"/>
  <c r="U57" i="20"/>
  <c r="W57" i="20"/>
  <c r="N57" i="20"/>
  <c r="V56" i="20"/>
  <c r="R53" i="20"/>
  <c r="J53" i="20"/>
  <c r="L58" i="20"/>
  <c r="L57" i="20"/>
  <c r="O55" i="20"/>
  <c r="X54" i="20"/>
  <c r="Q53" i="20"/>
  <c r="I53" i="20"/>
  <c r="W55" i="20"/>
  <c r="AA58" i="20"/>
  <c r="AA56" i="20"/>
  <c r="AA54" i="20"/>
  <c r="X59" i="20"/>
  <c r="X58" i="20"/>
  <c r="N55" i="20"/>
  <c r="V54" i="20"/>
  <c r="P53" i="20"/>
  <c r="H53" i="20"/>
  <c r="Z56" i="20"/>
  <c r="X56" i="20" s="1"/>
  <c r="V53" i="20"/>
  <c r="W53" i="20"/>
  <c r="U55" i="20"/>
  <c r="U53" i="20"/>
  <c r="M53" i="20"/>
  <c r="AA59" i="20"/>
  <c r="AA57" i="20"/>
  <c r="AA55" i="20"/>
  <c r="AA53" i="20"/>
  <c r="L59" i="20"/>
  <c r="V55" i="20"/>
  <c r="L55" i="20"/>
  <c r="N53" i="20"/>
  <c r="X57" i="20"/>
  <c r="J55" i="20"/>
  <c r="L53" i="20"/>
  <c r="S58" i="20"/>
  <c r="S54" i="20"/>
  <c r="N56" i="20"/>
  <c r="P55" i="20"/>
  <c r="H55" i="20"/>
  <c r="R54" i="20"/>
  <c r="J54" i="20"/>
  <c r="Q58" i="20"/>
  <c r="I58" i="20"/>
  <c r="U56" i="20"/>
  <c r="M56" i="20"/>
  <c r="Q54" i="20"/>
  <c r="I54" i="20"/>
  <c r="U58" i="20"/>
  <c r="Q56" i="20"/>
  <c r="U54" i="20"/>
  <c r="J50" i="20"/>
  <c r="N48" i="20"/>
  <c r="Q48" i="20"/>
  <c r="I48" i="20"/>
  <c r="U48" i="20"/>
  <c r="W48" i="20"/>
  <c r="H48" i="20"/>
  <c r="S48" i="20"/>
  <c r="O48" i="20"/>
  <c r="P48" i="20"/>
  <c r="M48" i="20"/>
  <c r="P50" i="20"/>
  <c r="X52" i="20"/>
  <c r="M52" i="20"/>
  <c r="S51" i="20"/>
  <c r="I50" i="20"/>
  <c r="V46" i="20"/>
  <c r="L46" i="20"/>
  <c r="W50" i="20"/>
  <c r="V52" i="20"/>
  <c r="L52" i="20"/>
  <c r="O51" i="20"/>
  <c r="S50" i="20"/>
  <c r="H50" i="20"/>
  <c r="I49" i="20"/>
  <c r="U46" i="20"/>
  <c r="W49" i="20"/>
  <c r="O50" i="20"/>
  <c r="X50" i="20"/>
  <c r="M50" i="20"/>
  <c r="P46" i="20"/>
  <c r="W46" i="20"/>
  <c r="P52" i="20"/>
  <c r="X51" i="20"/>
  <c r="V50" i="20"/>
  <c r="L50" i="20"/>
  <c r="M47" i="20"/>
  <c r="O46" i="20"/>
  <c r="W52" i="20"/>
  <c r="AA52" i="20"/>
  <c r="AA50" i="20"/>
  <c r="AA48" i="20"/>
  <c r="AA46" i="20"/>
  <c r="O52" i="20"/>
  <c r="U50" i="20"/>
  <c r="X46" i="20"/>
  <c r="M46" i="20"/>
  <c r="W51" i="20"/>
  <c r="R49" i="20"/>
  <c r="J49" i="20"/>
  <c r="N47" i="20"/>
  <c r="R52" i="20"/>
  <c r="J52" i="20"/>
  <c r="N50" i="20"/>
  <c r="P49" i="20"/>
  <c r="H49" i="20"/>
  <c r="R48" i="20"/>
  <c r="J48" i="20"/>
  <c r="N46" i="20"/>
  <c r="J51" i="20"/>
  <c r="N49" i="20"/>
  <c r="J47" i="20"/>
  <c r="Q51" i="20"/>
  <c r="I51" i="20"/>
  <c r="U49" i="20"/>
  <c r="M49" i="20"/>
  <c r="Q47" i="20"/>
  <c r="I47" i="20"/>
  <c r="R51" i="20"/>
  <c r="R47" i="20"/>
  <c r="P51" i="20"/>
  <c r="H51" i="20"/>
  <c r="R50" i="20"/>
  <c r="P47" i="20"/>
  <c r="H47" i="20"/>
  <c r="R46" i="20"/>
  <c r="N51" i="20"/>
  <c r="U51" i="20"/>
  <c r="Q49" i="20"/>
  <c r="U47" i="20"/>
  <c r="J43" i="20"/>
  <c r="J41" i="20"/>
  <c r="J39" i="20"/>
  <c r="O39" i="20"/>
  <c r="W39" i="20"/>
  <c r="I39" i="20"/>
  <c r="P39" i="20"/>
  <c r="Q39" i="20"/>
  <c r="H39" i="20"/>
  <c r="U39" i="20"/>
  <c r="N45" i="20"/>
  <c r="H45" i="20"/>
  <c r="P45" i="20"/>
  <c r="W45" i="20"/>
  <c r="O45" i="20"/>
  <c r="I45" i="20"/>
  <c r="Q45" i="20"/>
  <c r="W40" i="20"/>
  <c r="J45" i="20"/>
  <c r="R45" i="20"/>
  <c r="S45" i="20"/>
  <c r="M45" i="20"/>
  <c r="U45" i="20"/>
  <c r="Q41" i="20"/>
  <c r="I41" i="20"/>
  <c r="W43" i="20"/>
  <c r="P43" i="20"/>
  <c r="X42" i="20"/>
  <c r="P41" i="20"/>
  <c r="H41" i="20"/>
  <c r="W42" i="20"/>
  <c r="W41" i="20"/>
  <c r="N41" i="20"/>
  <c r="Z40" i="20"/>
  <c r="X40" i="20" s="1"/>
  <c r="R42" i="20"/>
  <c r="U41" i="20"/>
  <c r="M41" i="20"/>
  <c r="V40" i="20"/>
  <c r="I43" i="20"/>
  <c r="S41" i="20"/>
  <c r="U43" i="20"/>
  <c r="H43" i="20"/>
  <c r="R41" i="20"/>
  <c r="W44" i="20"/>
  <c r="N40" i="20"/>
  <c r="U44" i="20"/>
  <c r="M44" i="20"/>
  <c r="Q42" i="20"/>
  <c r="I42" i="20"/>
  <c r="U40" i="20"/>
  <c r="M40" i="20"/>
  <c r="N43" i="20"/>
  <c r="P42" i="20"/>
  <c r="H42" i="20"/>
  <c r="N39" i="20"/>
  <c r="M39" i="20"/>
  <c r="N44" i="20"/>
  <c r="S40" i="20"/>
  <c r="N42" i="20"/>
  <c r="R40" i="20"/>
  <c r="J40" i="20"/>
  <c r="Q44" i="20"/>
  <c r="I44" i="20"/>
  <c r="S43" i="20"/>
  <c r="U42" i="20"/>
  <c r="M42" i="20"/>
  <c r="Q40" i="20"/>
  <c r="I40" i="20"/>
  <c r="S39" i="20"/>
  <c r="S44" i="20"/>
  <c r="R44" i="20"/>
  <c r="J44" i="20"/>
  <c r="P44" i="20"/>
  <c r="R43" i="20"/>
  <c r="P40" i="20"/>
  <c r="R39" i="20"/>
  <c r="O38" i="20"/>
  <c r="I38" i="20"/>
  <c r="Q38" i="20"/>
  <c r="M38" i="20"/>
  <c r="W36" i="20"/>
  <c r="N38" i="20"/>
  <c r="W38" i="20"/>
  <c r="H38" i="20"/>
  <c r="P38" i="20"/>
  <c r="J38" i="20"/>
  <c r="R38" i="20"/>
  <c r="S38" i="20"/>
  <c r="U38" i="20"/>
  <c r="H33" i="20"/>
  <c r="N33" i="20"/>
  <c r="M33" i="20"/>
  <c r="O33" i="20"/>
  <c r="W33" i="20"/>
  <c r="R33" i="20"/>
  <c r="S33" i="20"/>
  <c r="J33" i="20"/>
  <c r="U33" i="20"/>
  <c r="S35" i="20"/>
  <c r="R35" i="20"/>
  <c r="J35" i="20"/>
  <c r="W35" i="20"/>
  <c r="O35" i="20"/>
  <c r="I32" i="20"/>
  <c r="O32" i="20"/>
  <c r="W32" i="20"/>
  <c r="U32" i="20"/>
  <c r="P32" i="20"/>
  <c r="H32" i="20"/>
  <c r="M32" i="20"/>
  <c r="H37" i="20"/>
  <c r="W37" i="20"/>
  <c r="M37" i="20"/>
  <c r="N37" i="20"/>
  <c r="O37" i="20"/>
  <c r="R37" i="20"/>
  <c r="S37" i="20"/>
  <c r="J37" i="20"/>
  <c r="U37" i="20"/>
  <c r="N34" i="20"/>
  <c r="H34" i="20"/>
  <c r="P34" i="20"/>
  <c r="M34" i="20"/>
  <c r="O34" i="20"/>
  <c r="I34" i="20"/>
  <c r="Q34" i="20"/>
  <c r="J34" i="20"/>
  <c r="R34" i="20"/>
  <c r="W34" i="20"/>
  <c r="S34" i="20"/>
  <c r="U34" i="20"/>
  <c r="L35" i="20"/>
  <c r="AA37" i="20"/>
  <c r="AA35" i="20"/>
  <c r="AA33" i="20"/>
  <c r="Z37" i="20"/>
  <c r="X37" i="20" s="1"/>
  <c r="Z35" i="20"/>
  <c r="Z33" i="20"/>
  <c r="X33" i="20" s="1"/>
  <c r="H36" i="20"/>
  <c r="U36" i="20"/>
  <c r="X35" i="20"/>
  <c r="P36" i="20"/>
  <c r="Q35" i="20"/>
  <c r="I35" i="20"/>
  <c r="N36" i="20"/>
  <c r="P35" i="20"/>
  <c r="H35" i="20"/>
  <c r="N32" i="20"/>
  <c r="Q37" i="20"/>
  <c r="I37" i="20"/>
  <c r="S36" i="20"/>
  <c r="U35" i="20"/>
  <c r="M35" i="20"/>
  <c r="Q33" i="20"/>
  <c r="I33" i="20"/>
  <c r="S32" i="20"/>
  <c r="N35" i="20"/>
  <c r="P37" i="20"/>
  <c r="R36" i="20"/>
  <c r="J36" i="20"/>
  <c r="P33" i="20"/>
  <c r="R32" i="20"/>
  <c r="J32" i="20"/>
  <c r="Q36" i="20"/>
  <c r="Q32" i="20"/>
  <c r="Q31" i="20"/>
  <c r="R26" i="20"/>
  <c r="S27" i="20"/>
  <c r="Q27" i="20"/>
  <c r="V31" i="20"/>
  <c r="L29" i="20"/>
  <c r="L31" i="20"/>
  <c r="I26" i="20"/>
  <c r="J29" i="20"/>
  <c r="O29" i="20"/>
  <c r="P29" i="20"/>
  <c r="H29" i="20"/>
  <c r="Q29" i="20"/>
  <c r="I29" i="20"/>
  <c r="S29" i="20"/>
  <c r="N29" i="20"/>
  <c r="U29" i="20"/>
  <c r="M29" i="20"/>
  <c r="I28" i="20"/>
  <c r="H28" i="20"/>
  <c r="O28" i="20"/>
  <c r="P28" i="20"/>
  <c r="J25" i="20"/>
  <c r="U25" i="20"/>
  <c r="N25" i="20"/>
  <c r="M25" i="20"/>
  <c r="O25" i="20"/>
  <c r="P25" i="20"/>
  <c r="H25" i="20"/>
  <c r="Q25" i="20"/>
  <c r="I25" i="20"/>
  <c r="S25" i="20"/>
  <c r="M30" i="20"/>
  <c r="Q30" i="20"/>
  <c r="R30" i="20"/>
  <c r="I30" i="20"/>
  <c r="S30" i="20"/>
  <c r="J30" i="20"/>
  <c r="O30" i="20"/>
  <c r="N30" i="20"/>
  <c r="P31" i="20"/>
  <c r="X30" i="20"/>
  <c r="V28" i="20"/>
  <c r="J26" i="20"/>
  <c r="O31" i="20"/>
  <c r="L30" i="20"/>
  <c r="J27" i="20"/>
  <c r="S26" i="20"/>
  <c r="AA30" i="20"/>
  <c r="AA28" i="20"/>
  <c r="AA26" i="20"/>
  <c r="V30" i="20"/>
  <c r="I27" i="20"/>
  <c r="M26" i="20"/>
  <c r="Z28" i="20"/>
  <c r="X28" i="20" s="1"/>
  <c r="Z26" i="20"/>
  <c r="X26" i="20" s="1"/>
  <c r="L28" i="20"/>
  <c r="R27" i="20"/>
  <c r="H27" i="20"/>
  <c r="Q26" i="20"/>
  <c r="I31" i="20"/>
  <c r="P27" i="20"/>
  <c r="N26" i="20"/>
  <c r="J31" i="20"/>
  <c r="R31" i="20"/>
  <c r="H31" i="20"/>
  <c r="O27" i="20"/>
  <c r="N28" i="20"/>
  <c r="U28" i="20"/>
  <c r="M28" i="20"/>
  <c r="N31" i="20"/>
  <c r="P30" i="20"/>
  <c r="H30" i="20"/>
  <c r="R29" i="20"/>
  <c r="N27" i="20"/>
  <c r="P26" i="20"/>
  <c r="H26" i="20"/>
  <c r="R25" i="20"/>
  <c r="U31" i="20"/>
  <c r="M31" i="20"/>
  <c r="S28" i="20"/>
  <c r="U27" i="20"/>
  <c r="M27" i="20"/>
  <c r="R28" i="20"/>
  <c r="J28" i="20"/>
  <c r="U30" i="20"/>
  <c r="Q28" i="20"/>
  <c r="U26" i="20"/>
  <c r="M17" i="20"/>
  <c r="J17" i="20"/>
  <c r="P17" i="20"/>
  <c r="O17" i="20"/>
  <c r="Q17" i="20"/>
  <c r="H17" i="20"/>
  <c r="R17" i="20"/>
  <c r="I17" i="20"/>
  <c r="S17" i="20"/>
  <c r="I23" i="20"/>
  <c r="H23" i="20"/>
  <c r="P23" i="20"/>
  <c r="O23" i="20"/>
  <c r="N24" i="20"/>
  <c r="P24" i="20"/>
  <c r="I24" i="20"/>
  <c r="J24" i="20"/>
  <c r="R24" i="20"/>
  <c r="O24" i="20"/>
  <c r="H24" i="20"/>
  <c r="Q24" i="20"/>
  <c r="S24" i="20"/>
  <c r="M24" i="20"/>
  <c r="U24" i="20"/>
  <c r="I19" i="20"/>
  <c r="H19" i="20"/>
  <c r="O19" i="20"/>
  <c r="P19" i="20"/>
  <c r="J21" i="20"/>
  <c r="J18" i="20"/>
  <c r="S16" i="20"/>
  <c r="L24" i="20"/>
  <c r="V23" i="20"/>
  <c r="J22" i="20"/>
  <c r="S21" i="20"/>
  <c r="I21" i="20"/>
  <c r="S20" i="20"/>
  <c r="V18" i="20"/>
  <c r="I18" i="20"/>
  <c r="R16" i="20"/>
  <c r="J16" i="20"/>
  <c r="V22" i="20"/>
  <c r="I22" i="20"/>
  <c r="R21" i="20"/>
  <c r="H21" i="20"/>
  <c r="R20" i="20"/>
  <c r="J20" i="20"/>
  <c r="R18" i="20"/>
  <c r="H18" i="20"/>
  <c r="Q16" i="20"/>
  <c r="I16" i="20"/>
  <c r="AA23" i="20"/>
  <c r="AA21" i="20"/>
  <c r="AA19" i="20"/>
  <c r="AA17" i="20"/>
  <c r="P16" i="20"/>
  <c r="P18" i="20"/>
  <c r="X24" i="20"/>
  <c r="P22" i="20"/>
  <c r="O18" i="20"/>
  <c r="O22" i="20"/>
  <c r="L21" i="20"/>
  <c r="V20" i="20"/>
  <c r="N20" i="20"/>
  <c r="L18" i="20"/>
  <c r="V17" i="20"/>
  <c r="U16" i="20"/>
  <c r="M16" i="20"/>
  <c r="AA24" i="20"/>
  <c r="AA22" i="20"/>
  <c r="AA20" i="20"/>
  <c r="AA18" i="20"/>
  <c r="AA16" i="20"/>
  <c r="Q21" i="20"/>
  <c r="P21" i="20"/>
  <c r="O16" i="20"/>
  <c r="X21" i="20"/>
  <c r="O21" i="20"/>
  <c r="V16" i="20"/>
  <c r="N16" i="20"/>
  <c r="V24" i="20"/>
  <c r="L22" i="20"/>
  <c r="U20" i="20"/>
  <c r="X18" i="20"/>
  <c r="L16" i="20"/>
  <c r="M23" i="20"/>
  <c r="N22" i="20"/>
  <c r="N18" i="20"/>
  <c r="U19" i="20"/>
  <c r="S23" i="20"/>
  <c r="U22" i="20"/>
  <c r="M22" i="20"/>
  <c r="S19" i="20"/>
  <c r="U18" i="20"/>
  <c r="M18" i="20"/>
  <c r="N23" i="20"/>
  <c r="N19" i="20"/>
  <c r="R23" i="20"/>
  <c r="J23" i="20"/>
  <c r="N21" i="20"/>
  <c r="R19" i="20"/>
  <c r="J19" i="20"/>
  <c r="N17" i="20"/>
  <c r="U23" i="20"/>
  <c r="M19" i="20"/>
  <c r="Q23" i="20"/>
  <c r="U21" i="20"/>
  <c r="Q19" i="20"/>
  <c r="U17" i="20"/>
  <c r="H15" i="20"/>
  <c r="V9" i="20"/>
  <c r="AG9" i="20"/>
  <c r="X13" i="20"/>
  <c r="AG10" i="20"/>
  <c r="J10" i="20" s="1"/>
  <c r="R8" i="20"/>
  <c r="O8" i="20"/>
  <c r="V8" i="20"/>
  <c r="L8" i="20"/>
  <c r="AG8" i="20"/>
  <c r="J8" i="20" s="1"/>
  <c r="X8" i="20"/>
  <c r="P15" i="20"/>
  <c r="J13" i="20"/>
  <c r="U11" i="20"/>
  <c r="H10" i="20"/>
  <c r="U10" i="20"/>
  <c r="I10" i="20"/>
  <c r="M10" i="20"/>
  <c r="P10" i="20"/>
  <c r="N10" i="20"/>
  <c r="Q10" i="20"/>
  <c r="H8" i="20"/>
  <c r="V4" i="20"/>
  <c r="Z4" i="20"/>
  <c r="X4" i="20" s="1"/>
  <c r="L7" i="20"/>
  <c r="AG4" i="20"/>
  <c r="J4" i="20" s="1"/>
  <c r="X6" i="20"/>
  <c r="Z2" i="20"/>
  <c r="X2" i="20" s="1"/>
  <c r="AG2" i="20"/>
  <c r="L2" i="20"/>
  <c r="V2" i="20"/>
  <c r="U5" i="20"/>
  <c r="M5" i="20"/>
  <c r="S6" i="20"/>
  <c r="J6" i="20"/>
  <c r="S4" i="20"/>
  <c r="M4" i="20"/>
  <c r="I3" i="20"/>
  <c r="Q3" i="20"/>
  <c r="O3" i="20"/>
  <c r="U6" i="20"/>
  <c r="O5" i="20"/>
  <c r="R6" i="20"/>
  <c r="N4" i="20"/>
  <c r="P4" i="20"/>
  <c r="Q4" i="20"/>
  <c r="H4" i="20"/>
  <c r="U4" i="20"/>
  <c r="I4" i="20"/>
  <c r="W3" i="20"/>
  <c r="J2" i="20"/>
  <c r="W2" i="20"/>
  <c r="H2" i="20"/>
  <c r="P2" i="20"/>
  <c r="U9" i="20"/>
  <c r="M9" i="20"/>
  <c r="R9" i="20"/>
  <c r="S9" i="20"/>
  <c r="J9" i="20"/>
  <c r="P9" i="20"/>
  <c r="H9" i="20"/>
  <c r="P14" i="20"/>
  <c r="H14" i="20"/>
  <c r="U14" i="20"/>
  <c r="O14" i="20"/>
  <c r="N14" i="20"/>
  <c r="M14" i="20"/>
  <c r="S14" i="20"/>
  <c r="N2" i="20"/>
  <c r="U2" i="20"/>
  <c r="M2" i="20"/>
  <c r="S2" i="20"/>
  <c r="Q2" i="20"/>
  <c r="I2" i="20"/>
  <c r="H7" i="20"/>
  <c r="I9" i="20"/>
  <c r="S11" i="20"/>
  <c r="R11" i="20"/>
  <c r="P11" i="20"/>
  <c r="H11" i="20"/>
  <c r="Q11" i="20"/>
  <c r="I11" i="20"/>
  <c r="N11" i="20"/>
  <c r="AG14" i="20"/>
  <c r="J14" i="20" s="1"/>
  <c r="V14" i="20"/>
  <c r="I7" i="20"/>
  <c r="N9" i="20"/>
  <c r="Q14" i="20"/>
  <c r="S5" i="20"/>
  <c r="P5" i="20"/>
  <c r="H5" i="20"/>
  <c r="R5" i="20"/>
  <c r="J5" i="20"/>
  <c r="Q5" i="20"/>
  <c r="I5" i="20"/>
  <c r="N5" i="20"/>
  <c r="Q6" i="20"/>
  <c r="I6" i="20"/>
  <c r="N6" i="20"/>
  <c r="P6" i="20"/>
  <c r="H6" i="20"/>
  <c r="O6" i="20"/>
  <c r="P8" i="20"/>
  <c r="O9" i="20"/>
  <c r="M11" i="20"/>
  <c r="R12" i="20"/>
  <c r="O12" i="20"/>
  <c r="Q12" i="20"/>
  <c r="I12" i="20"/>
  <c r="P12" i="20"/>
  <c r="H12" i="20"/>
  <c r="U12" i="20"/>
  <c r="M12" i="20"/>
  <c r="R14" i="20"/>
  <c r="Z11" i="20"/>
  <c r="X11" i="20" s="1"/>
  <c r="V11" i="20"/>
  <c r="Q13" i="20"/>
  <c r="I13" i="20"/>
  <c r="N13" i="20"/>
  <c r="P13" i="20"/>
  <c r="H13" i="20"/>
  <c r="O13" i="20"/>
  <c r="U3" i="20"/>
  <c r="M3" i="20"/>
  <c r="J3" i="20"/>
  <c r="S3" i="20"/>
  <c r="R3" i="20"/>
  <c r="P3" i="20"/>
  <c r="H3" i="20"/>
  <c r="W5" i="20"/>
  <c r="AG11" i="20"/>
  <c r="J11" i="20" s="1"/>
  <c r="M13" i="20"/>
  <c r="Z5" i="20"/>
  <c r="X5" i="20" s="1"/>
  <c r="V5" i="20"/>
  <c r="Q9" i="20"/>
  <c r="O11" i="20"/>
  <c r="Z12" i="20"/>
  <c r="X12" i="20" s="1"/>
  <c r="AG12" i="20"/>
  <c r="J12" i="20" s="1"/>
  <c r="S13" i="20"/>
  <c r="O15" i="20"/>
  <c r="N15" i="20"/>
  <c r="U15" i="20"/>
  <c r="M15" i="20"/>
  <c r="R15" i="20"/>
  <c r="W7" i="20"/>
  <c r="O7" i="20"/>
  <c r="N7" i="20"/>
  <c r="U7" i="20"/>
  <c r="M7" i="20"/>
  <c r="W6" i="20"/>
  <c r="R7" i="20"/>
  <c r="W4" i="20"/>
  <c r="O2" i="20"/>
  <c r="N3" i="20"/>
  <c r="Q7" i="20"/>
  <c r="N8" i="20"/>
  <c r="S8" i="20"/>
  <c r="U8" i="20"/>
  <c r="M8" i="20"/>
  <c r="Q8" i="20"/>
  <c r="I8" i="20"/>
  <c r="U13" i="20"/>
  <c r="Z14" i="20"/>
  <c r="X14" i="20" s="1"/>
  <c r="O4" i="20"/>
  <c r="O10" i="20"/>
  <c r="R4" i="20"/>
  <c r="AG7" i="20"/>
  <c r="J7" i="20" s="1"/>
  <c r="R10" i="20"/>
  <c r="AG15" i="20"/>
  <c r="J15" i="20" s="1"/>
  <c r="AN6" i="20"/>
  <c r="H98" i="5"/>
  <c r="I93" i="5"/>
  <c r="H93" i="5"/>
  <c r="O93" i="5"/>
  <c r="P93" i="5"/>
  <c r="R96" i="5"/>
  <c r="J96" i="5"/>
  <c r="S90" i="5"/>
  <c r="V98" i="5"/>
  <c r="N98" i="5"/>
  <c r="I97" i="5"/>
  <c r="Q96" i="5"/>
  <c r="I96" i="5"/>
  <c r="O95" i="5"/>
  <c r="L94" i="5"/>
  <c r="V93" i="5"/>
  <c r="R90" i="5"/>
  <c r="I90" i="5"/>
  <c r="S98" i="5"/>
  <c r="N96" i="5"/>
  <c r="O90" i="5"/>
  <c r="R98" i="5"/>
  <c r="J98" i="5"/>
  <c r="O97" i="5"/>
  <c r="U96" i="5"/>
  <c r="M96" i="5"/>
  <c r="X94" i="5"/>
  <c r="P94" i="5"/>
  <c r="H94" i="5"/>
  <c r="S92" i="5"/>
  <c r="V90" i="5"/>
  <c r="N90" i="5"/>
  <c r="Q98" i="5"/>
  <c r="I98" i="5"/>
  <c r="S91" i="5"/>
  <c r="U90" i="5"/>
  <c r="M90" i="5"/>
  <c r="AA98" i="5"/>
  <c r="AA96" i="5"/>
  <c r="AA94" i="5"/>
  <c r="AA92" i="5"/>
  <c r="AA90" i="5"/>
  <c r="X98" i="5"/>
  <c r="P98" i="5"/>
  <c r="V94" i="5"/>
  <c r="Q92" i="5"/>
  <c r="O91" i="5"/>
  <c r="L90" i="5"/>
  <c r="J91" i="5"/>
  <c r="U97" i="5"/>
  <c r="M97" i="5"/>
  <c r="Q95" i="5"/>
  <c r="I95" i="5"/>
  <c r="U93" i="5"/>
  <c r="M93" i="5"/>
  <c r="Q91" i="5"/>
  <c r="I91" i="5"/>
  <c r="N97" i="5"/>
  <c r="R95" i="5"/>
  <c r="J95" i="5"/>
  <c r="N93" i="5"/>
  <c r="R91" i="5"/>
  <c r="P95" i="5"/>
  <c r="H95" i="5"/>
  <c r="P91" i="5"/>
  <c r="H91" i="5"/>
  <c r="R97" i="5"/>
  <c r="R93" i="5"/>
  <c r="N91" i="5"/>
  <c r="S97" i="5"/>
  <c r="S93" i="5"/>
  <c r="J97" i="5"/>
  <c r="N95" i="5"/>
  <c r="J93" i="5"/>
  <c r="Q97" i="5"/>
  <c r="U95" i="5"/>
  <c r="Q93" i="5"/>
  <c r="U91" i="5"/>
  <c r="L89" i="5"/>
  <c r="AG85" i="5"/>
  <c r="J85" i="5" s="1"/>
  <c r="V82" i="5"/>
  <c r="AA83" i="5"/>
  <c r="W85" i="5"/>
  <c r="L83" i="5"/>
  <c r="AA85" i="5"/>
  <c r="AG87" i="5"/>
  <c r="J87" i="5" s="1"/>
  <c r="AA87" i="5"/>
  <c r="AA89" i="5"/>
  <c r="S88" i="5"/>
  <c r="L88" i="5"/>
  <c r="L84" i="5"/>
  <c r="V89" i="5"/>
  <c r="Z89" i="5"/>
  <c r="X89" i="5" s="1"/>
  <c r="Z87" i="5"/>
  <c r="X87" i="5" s="1"/>
  <c r="Z85" i="5"/>
  <c r="X85" i="5" s="1"/>
  <c r="Z83" i="5"/>
  <c r="X83" i="5" s="1"/>
  <c r="AG86" i="5"/>
  <c r="J86" i="5" s="1"/>
  <c r="L87" i="5"/>
  <c r="L85" i="5"/>
  <c r="S83" i="5"/>
  <c r="L82" i="5"/>
  <c r="AG84" i="5"/>
  <c r="J84" i="5" s="1"/>
  <c r="R83" i="5"/>
  <c r="AA88" i="5"/>
  <c r="AA86" i="5"/>
  <c r="AA84" i="5"/>
  <c r="AA82" i="5"/>
  <c r="O83" i="5"/>
  <c r="Z88" i="5"/>
  <c r="X88" i="5" s="1"/>
  <c r="Z86" i="5"/>
  <c r="X86" i="5" s="1"/>
  <c r="Z84" i="5"/>
  <c r="X84" i="5" s="1"/>
  <c r="Z82" i="5"/>
  <c r="X82" i="5" s="1"/>
  <c r="V88" i="5"/>
  <c r="V86" i="5"/>
  <c r="U83" i="5"/>
  <c r="J83" i="5"/>
  <c r="W84" i="5"/>
  <c r="O82" i="5"/>
  <c r="S82" i="5"/>
  <c r="W82" i="5"/>
  <c r="I88" i="5"/>
  <c r="W89" i="5"/>
  <c r="Q88" i="5"/>
  <c r="W87" i="5"/>
  <c r="P88" i="5"/>
  <c r="W86" i="5"/>
  <c r="W88" i="5"/>
  <c r="O88" i="5"/>
  <c r="O87" i="5"/>
  <c r="S86" i="5"/>
  <c r="V83" i="5"/>
  <c r="I83" i="5"/>
  <c r="R87" i="5"/>
  <c r="J89" i="5"/>
  <c r="M87" i="5"/>
  <c r="M86" i="5"/>
  <c r="W83" i="5"/>
  <c r="Q87" i="5"/>
  <c r="U87" i="5"/>
  <c r="S87" i="5"/>
  <c r="I87" i="5"/>
  <c r="U86" i="5"/>
  <c r="O86" i="5"/>
  <c r="O85" i="5"/>
  <c r="I84" i="5"/>
  <c r="S84" i="5"/>
  <c r="P84" i="5"/>
  <c r="O84" i="5"/>
  <c r="Q84" i="5"/>
  <c r="M83" i="5"/>
  <c r="Q83" i="5"/>
  <c r="N89" i="5"/>
  <c r="Q89" i="5"/>
  <c r="I89" i="5"/>
  <c r="Q85" i="5"/>
  <c r="I85" i="5"/>
  <c r="P89" i="5"/>
  <c r="R88" i="5"/>
  <c r="J88" i="5"/>
  <c r="N86" i="5"/>
  <c r="P85" i="5"/>
  <c r="R84" i="5"/>
  <c r="N82" i="5"/>
  <c r="U82" i="5"/>
  <c r="M82" i="5"/>
  <c r="M89" i="5"/>
  <c r="U85" i="5"/>
  <c r="M85" i="5"/>
  <c r="N88" i="5"/>
  <c r="P87" i="5"/>
  <c r="R86" i="5"/>
  <c r="N84" i="5"/>
  <c r="P83" i="5"/>
  <c r="R82" i="5"/>
  <c r="J82" i="5"/>
  <c r="N85" i="5"/>
  <c r="U89" i="5"/>
  <c r="S89" i="5"/>
  <c r="U88" i="5"/>
  <c r="M88" i="5"/>
  <c r="Q86" i="5"/>
  <c r="I86" i="5"/>
  <c r="S85" i="5"/>
  <c r="U84" i="5"/>
  <c r="M84" i="5"/>
  <c r="Q82" i="5"/>
  <c r="I82" i="5"/>
  <c r="R89" i="5"/>
  <c r="P86" i="5"/>
  <c r="R85" i="5"/>
  <c r="P82" i="5"/>
  <c r="V74" i="5"/>
  <c r="Q75" i="5"/>
  <c r="I75" i="5"/>
  <c r="V80" i="5"/>
  <c r="V76" i="5"/>
  <c r="Z76" i="5"/>
  <c r="X76" i="5" s="1"/>
  <c r="AG74" i="5"/>
  <c r="J74" i="5" s="1"/>
  <c r="L76" i="5"/>
  <c r="AA80" i="5"/>
  <c r="AA79" i="5"/>
  <c r="AA77" i="5"/>
  <c r="L80" i="5"/>
  <c r="AG80" i="5"/>
  <c r="J80" i="5" s="1"/>
  <c r="I80" i="5"/>
  <c r="AG76" i="5"/>
  <c r="J76" i="5" s="1"/>
  <c r="AA78" i="5"/>
  <c r="L81" i="5"/>
  <c r="V78" i="5"/>
  <c r="Z78" i="5"/>
  <c r="X78" i="5" s="1"/>
  <c r="L78" i="5"/>
  <c r="L74" i="5"/>
  <c r="Z74" i="5"/>
  <c r="X74" i="5" s="1"/>
  <c r="AA75" i="5"/>
  <c r="AG81" i="5"/>
  <c r="J81" i="5" s="1"/>
  <c r="AA81" i="5"/>
  <c r="M78" i="5"/>
  <c r="U78" i="5"/>
  <c r="N78" i="5"/>
  <c r="O78" i="5"/>
  <c r="R78" i="5"/>
  <c r="I78" i="5"/>
  <c r="W78" i="5"/>
  <c r="P78" i="5"/>
  <c r="Q78" i="5"/>
  <c r="S78" i="5"/>
  <c r="I77" i="5"/>
  <c r="W77" i="5"/>
  <c r="R74" i="5"/>
  <c r="S74" i="5"/>
  <c r="I74" i="5"/>
  <c r="W74" i="5"/>
  <c r="P74" i="5"/>
  <c r="Q74" i="5"/>
  <c r="U74" i="5"/>
  <c r="M74" i="5"/>
  <c r="O74" i="5"/>
  <c r="M79" i="5"/>
  <c r="Q79" i="5"/>
  <c r="R79" i="5"/>
  <c r="S79" i="5"/>
  <c r="O79" i="5"/>
  <c r="W79" i="5"/>
  <c r="I79" i="5"/>
  <c r="S76" i="5"/>
  <c r="I76" i="5"/>
  <c r="W76" i="5"/>
  <c r="Q76" i="5"/>
  <c r="O76" i="5"/>
  <c r="P76" i="5"/>
  <c r="V75" i="5"/>
  <c r="S75" i="5"/>
  <c r="W80" i="5"/>
  <c r="AG79" i="5"/>
  <c r="J79" i="5" s="1"/>
  <c r="R75" i="5"/>
  <c r="J78" i="5"/>
  <c r="Z81" i="5"/>
  <c r="X81" i="5" s="1"/>
  <c r="Z79" i="5"/>
  <c r="X79" i="5" s="1"/>
  <c r="Z77" i="5"/>
  <c r="X77" i="5" s="1"/>
  <c r="Z75" i="5"/>
  <c r="X75" i="5" s="1"/>
  <c r="U80" i="5"/>
  <c r="V79" i="5"/>
  <c r="AG77" i="5"/>
  <c r="J77" i="5" s="1"/>
  <c r="M75" i="5"/>
  <c r="Q80" i="5"/>
  <c r="V77" i="5"/>
  <c r="P80" i="5"/>
  <c r="N75" i="5"/>
  <c r="AG75" i="5"/>
  <c r="J75" i="5" s="1"/>
  <c r="I81" i="5"/>
  <c r="W81" i="5"/>
  <c r="O75" i="5"/>
  <c r="O81" i="5"/>
  <c r="O80" i="5"/>
  <c r="W75" i="5"/>
  <c r="I71" i="5"/>
  <c r="O77" i="5"/>
  <c r="N81" i="5"/>
  <c r="N77" i="5"/>
  <c r="N79" i="5"/>
  <c r="R77" i="5"/>
  <c r="P81" i="5"/>
  <c r="R80" i="5"/>
  <c r="P77" i="5"/>
  <c r="R76" i="5"/>
  <c r="N74" i="5"/>
  <c r="U81" i="5"/>
  <c r="M81" i="5"/>
  <c r="U77" i="5"/>
  <c r="M77" i="5"/>
  <c r="N80" i="5"/>
  <c r="P79" i="5"/>
  <c r="N76" i="5"/>
  <c r="P75" i="5"/>
  <c r="S81" i="5"/>
  <c r="M80" i="5"/>
  <c r="S77" i="5"/>
  <c r="U76" i="5"/>
  <c r="M76" i="5"/>
  <c r="R81" i="5"/>
  <c r="Q81" i="5"/>
  <c r="U79" i="5"/>
  <c r="Q77" i="5"/>
  <c r="U75" i="5"/>
  <c r="L69" i="5"/>
  <c r="V68" i="5"/>
  <c r="O71" i="5"/>
  <c r="AG68" i="5"/>
  <c r="J68" i="5" s="1"/>
  <c r="L68" i="5"/>
  <c r="S71" i="5"/>
  <c r="O73" i="5"/>
  <c r="P73" i="5"/>
  <c r="AA70" i="5"/>
  <c r="AG38" i="5"/>
  <c r="J38" i="5" s="1"/>
  <c r="Z70" i="5"/>
  <c r="X70" i="5" s="1"/>
  <c r="V70" i="5"/>
  <c r="L70" i="5"/>
  <c r="L46" i="5"/>
  <c r="V69" i="5"/>
  <c r="W67" i="5"/>
  <c r="S67" i="5"/>
  <c r="I67" i="5"/>
  <c r="V42" i="5"/>
  <c r="Z49" i="5"/>
  <c r="X49" i="5" s="1"/>
  <c r="AG72" i="5"/>
  <c r="AG14" i="5"/>
  <c r="J14" i="5" s="1"/>
  <c r="V66" i="5"/>
  <c r="AA66" i="5"/>
  <c r="L66" i="5"/>
  <c r="AG66" i="5"/>
  <c r="J66" i="5" s="1"/>
  <c r="Z66" i="5"/>
  <c r="X66" i="5" s="1"/>
  <c r="Z72" i="5"/>
  <c r="X72" i="5" s="1"/>
  <c r="V72" i="5"/>
  <c r="AA68" i="5"/>
  <c r="AA72" i="5"/>
  <c r="L65" i="5"/>
  <c r="W73" i="5"/>
  <c r="S70" i="5"/>
  <c r="I70" i="5"/>
  <c r="U70" i="5"/>
  <c r="M70" i="5"/>
  <c r="Q70" i="5"/>
  <c r="N70" i="5"/>
  <c r="O70" i="5"/>
  <c r="W70" i="5"/>
  <c r="S72" i="5"/>
  <c r="O72" i="5"/>
  <c r="W72" i="5"/>
  <c r="Q72" i="5"/>
  <c r="R72" i="5"/>
  <c r="I72" i="5"/>
  <c r="I69" i="5"/>
  <c r="M69" i="5"/>
  <c r="O69" i="5"/>
  <c r="P69" i="5"/>
  <c r="W69" i="5"/>
  <c r="U69" i="5"/>
  <c r="M66" i="5"/>
  <c r="O66" i="5"/>
  <c r="N66" i="5"/>
  <c r="W66" i="5"/>
  <c r="Q66" i="5"/>
  <c r="S66" i="5"/>
  <c r="I66" i="5"/>
  <c r="U66" i="5"/>
  <c r="AG73" i="5"/>
  <c r="L71" i="5"/>
  <c r="R68" i="5"/>
  <c r="Q67" i="5"/>
  <c r="L73" i="5"/>
  <c r="O68" i="5"/>
  <c r="O67" i="5"/>
  <c r="W68" i="5"/>
  <c r="AG71" i="5"/>
  <c r="AA73" i="5"/>
  <c r="AA71" i="5"/>
  <c r="AA69" i="5"/>
  <c r="AA67" i="5"/>
  <c r="I73" i="5"/>
  <c r="M71" i="5"/>
  <c r="L67" i="5"/>
  <c r="Z73" i="5"/>
  <c r="X73" i="5" s="1"/>
  <c r="Z71" i="5"/>
  <c r="X71" i="5" s="1"/>
  <c r="Z69" i="5"/>
  <c r="X69" i="5" s="1"/>
  <c r="Z67" i="5"/>
  <c r="X67" i="5" s="1"/>
  <c r="M67" i="5"/>
  <c r="AG67" i="5"/>
  <c r="J67" i="5" s="1"/>
  <c r="V67" i="5"/>
  <c r="Q71" i="5"/>
  <c r="W71" i="5"/>
  <c r="Q68" i="5"/>
  <c r="I68" i="5"/>
  <c r="N73" i="5"/>
  <c r="P72" i="5"/>
  <c r="R71" i="5"/>
  <c r="N69" i="5"/>
  <c r="P68" i="5"/>
  <c r="R67" i="5"/>
  <c r="M73" i="5"/>
  <c r="N72" i="5"/>
  <c r="P71" i="5"/>
  <c r="R70" i="5"/>
  <c r="J70" i="5"/>
  <c r="N68" i="5"/>
  <c r="P67" i="5"/>
  <c r="R66" i="5"/>
  <c r="M72" i="5"/>
  <c r="M68" i="5"/>
  <c r="R73" i="5"/>
  <c r="N71" i="5"/>
  <c r="P70" i="5"/>
  <c r="R69" i="5"/>
  <c r="J69" i="5"/>
  <c r="N67" i="5"/>
  <c r="P66" i="5"/>
  <c r="S73" i="5"/>
  <c r="S69" i="5"/>
  <c r="U68" i="5"/>
  <c r="Q73" i="5"/>
  <c r="Q69" i="5"/>
  <c r="U67" i="5"/>
  <c r="L55" i="5"/>
  <c r="AG55" i="5"/>
  <c r="J55" i="5" s="1"/>
  <c r="Z51" i="5"/>
  <c r="X51" i="5" s="1"/>
  <c r="AG47" i="5"/>
  <c r="J47" i="5" s="1"/>
  <c r="AA51" i="5"/>
  <c r="K73" i="5"/>
  <c r="L19" i="5"/>
  <c r="I60" i="5"/>
  <c r="AG51" i="5"/>
  <c r="J51" i="5" s="1"/>
  <c r="V55" i="5"/>
  <c r="I61" i="5"/>
  <c r="Z47" i="5"/>
  <c r="X47" i="5" s="1"/>
  <c r="AG42" i="5"/>
  <c r="J42" i="5" s="1"/>
  <c r="AA55" i="5"/>
  <c r="L63" i="5"/>
  <c r="AA59" i="5"/>
  <c r="P62" i="5"/>
  <c r="V19" i="5"/>
  <c r="AA57" i="5"/>
  <c r="V63" i="5"/>
  <c r="V59" i="5"/>
  <c r="I57" i="5"/>
  <c r="S59" i="5"/>
  <c r="I59" i="5"/>
  <c r="O59" i="5"/>
  <c r="Q59" i="5"/>
  <c r="R59" i="5"/>
  <c r="L47" i="5"/>
  <c r="V65" i="5"/>
  <c r="AA63" i="5"/>
  <c r="AG62" i="5"/>
  <c r="J62" i="5" s="1"/>
  <c r="L42" i="5"/>
  <c r="V61" i="5"/>
  <c r="AA61" i="5"/>
  <c r="AG57" i="5"/>
  <c r="I33" i="5"/>
  <c r="AA65" i="5"/>
  <c r="Z42" i="5"/>
  <c r="X42" i="5" s="1"/>
  <c r="L61" i="5"/>
  <c r="L58" i="5"/>
  <c r="AG65" i="5"/>
  <c r="J65" i="5" s="1"/>
  <c r="AG61" i="5"/>
  <c r="J61" i="5" s="1"/>
  <c r="M10" i="5"/>
  <c r="S63" i="5"/>
  <c r="Q63" i="5"/>
  <c r="I65" i="5"/>
  <c r="S65" i="5"/>
  <c r="U65" i="5"/>
  <c r="R65" i="5"/>
  <c r="M65" i="5"/>
  <c r="N65" i="5"/>
  <c r="O65" i="5"/>
  <c r="W59" i="5"/>
  <c r="P65" i="5"/>
  <c r="V14" i="5"/>
  <c r="V22" i="5"/>
  <c r="AG60" i="5"/>
  <c r="J60" i="5" s="1"/>
  <c r="AG59" i="5"/>
  <c r="J59" i="5" s="1"/>
  <c r="V57" i="5"/>
  <c r="AG58" i="5"/>
  <c r="J58" i="5" s="1"/>
  <c r="W62" i="5"/>
  <c r="U57" i="5"/>
  <c r="M29" i="5"/>
  <c r="R33" i="5"/>
  <c r="AG64" i="5"/>
  <c r="J64" i="5" s="1"/>
  <c r="W8" i="5"/>
  <c r="AA14" i="5"/>
  <c r="V27" i="5"/>
  <c r="P32" i="5"/>
  <c r="P61" i="5"/>
  <c r="L59" i="5"/>
  <c r="AG63" i="5"/>
  <c r="J63" i="5" s="1"/>
  <c r="M58" i="5"/>
  <c r="U58" i="5"/>
  <c r="N58" i="5"/>
  <c r="R58" i="5"/>
  <c r="O58" i="5"/>
  <c r="Q58" i="5"/>
  <c r="P58" i="5"/>
  <c r="W58" i="5"/>
  <c r="I58" i="5"/>
  <c r="S58" i="5"/>
  <c r="I64" i="5"/>
  <c r="W64" i="5"/>
  <c r="P64" i="5"/>
  <c r="P63" i="5"/>
  <c r="V62" i="5"/>
  <c r="N61" i="5"/>
  <c r="S57" i="5"/>
  <c r="AA60" i="5"/>
  <c r="U62" i="5"/>
  <c r="M62" i="5"/>
  <c r="W57" i="5"/>
  <c r="Z62" i="5"/>
  <c r="Z58" i="5"/>
  <c r="X58" i="5" s="1"/>
  <c r="L62" i="5"/>
  <c r="U61" i="5"/>
  <c r="O60" i="5"/>
  <c r="O57" i="5"/>
  <c r="W65" i="5"/>
  <c r="X62" i="5"/>
  <c r="O62" i="5"/>
  <c r="O61" i="5"/>
  <c r="W60" i="5"/>
  <c r="N62" i="5"/>
  <c r="AA58" i="5"/>
  <c r="M61" i="5"/>
  <c r="P60" i="5"/>
  <c r="P57" i="5"/>
  <c r="Z64" i="5"/>
  <c r="X64" i="5" s="1"/>
  <c r="Z60" i="5"/>
  <c r="X60" i="5" s="1"/>
  <c r="S62" i="5"/>
  <c r="L60" i="5"/>
  <c r="P59" i="5"/>
  <c r="N57" i="5"/>
  <c r="W61" i="5"/>
  <c r="O63" i="5"/>
  <c r="I63" i="5"/>
  <c r="R62" i="5"/>
  <c r="S61" i="5"/>
  <c r="M57" i="5"/>
  <c r="W63" i="5"/>
  <c r="L64" i="5"/>
  <c r="AA64" i="5"/>
  <c r="R63" i="5"/>
  <c r="Q62" i="5"/>
  <c r="I62" i="5"/>
  <c r="R61" i="5"/>
  <c r="L57" i="5"/>
  <c r="N64" i="5"/>
  <c r="M64" i="5"/>
  <c r="M60" i="5"/>
  <c r="N59" i="5"/>
  <c r="R57" i="5"/>
  <c r="J57" i="5"/>
  <c r="O64" i="5"/>
  <c r="U64" i="5"/>
  <c r="U60" i="5"/>
  <c r="N63" i="5"/>
  <c r="Q65" i="5"/>
  <c r="S64" i="5"/>
  <c r="U63" i="5"/>
  <c r="M63" i="5"/>
  <c r="Q61" i="5"/>
  <c r="S60" i="5"/>
  <c r="U59" i="5"/>
  <c r="M59" i="5"/>
  <c r="Q57" i="5"/>
  <c r="R60" i="5"/>
  <c r="N60" i="5"/>
  <c r="R64" i="5"/>
  <c r="Q64" i="5"/>
  <c r="Q60" i="5"/>
  <c r="I24" i="5"/>
  <c r="R24" i="5"/>
  <c r="L40" i="5"/>
  <c r="AG15" i="5"/>
  <c r="J15" i="5" s="1"/>
  <c r="P37" i="5"/>
  <c r="V38" i="5"/>
  <c r="AA46" i="5"/>
  <c r="L51" i="5"/>
  <c r="Z53" i="5"/>
  <c r="X53" i="5" s="1"/>
  <c r="X4" i="5"/>
  <c r="Z16" i="5"/>
  <c r="X16" i="5" s="1"/>
  <c r="L15" i="5"/>
  <c r="Z24" i="5"/>
  <c r="X24" i="5" s="1"/>
  <c r="AA30" i="5"/>
  <c r="V53" i="5"/>
  <c r="V47" i="5"/>
  <c r="AG53" i="5"/>
  <c r="J53" i="5" s="1"/>
  <c r="AG32" i="5"/>
  <c r="J32" i="5" s="1"/>
  <c r="V30" i="5"/>
  <c r="L53" i="5"/>
  <c r="N14" i="5"/>
  <c r="O14" i="5"/>
  <c r="M14" i="5"/>
  <c r="U14" i="5"/>
  <c r="M25" i="5"/>
  <c r="O25" i="5"/>
  <c r="Q25" i="5"/>
  <c r="W25" i="5"/>
  <c r="I25" i="5"/>
  <c r="R25" i="5"/>
  <c r="S25" i="5"/>
  <c r="N22" i="5"/>
  <c r="M22" i="5"/>
  <c r="Q35" i="5"/>
  <c r="R35" i="5"/>
  <c r="P35" i="5"/>
  <c r="O17" i="5"/>
  <c r="X39" i="5"/>
  <c r="AG13" i="5"/>
  <c r="J13" i="5" s="1"/>
  <c r="AG11" i="5"/>
  <c r="J11" i="5" s="1"/>
  <c r="AG10" i="5"/>
  <c r="J10" i="5" s="1"/>
  <c r="U10" i="5"/>
  <c r="AA8" i="5"/>
  <c r="AA19" i="5"/>
  <c r="AA16" i="5"/>
  <c r="AA24" i="5"/>
  <c r="P36" i="5"/>
  <c r="L39" i="5"/>
  <c r="L31" i="5"/>
  <c r="Z46" i="5"/>
  <c r="X46" i="5" s="1"/>
  <c r="AA38" i="5"/>
  <c r="N47" i="5"/>
  <c r="L38" i="5"/>
  <c r="L35" i="5"/>
  <c r="V56" i="5"/>
  <c r="I48" i="5"/>
  <c r="W48" i="5"/>
  <c r="AG2" i="5"/>
  <c r="AA11" i="5"/>
  <c r="Q17" i="5"/>
  <c r="AG30" i="5"/>
  <c r="J30" i="5" s="1"/>
  <c r="L32" i="5"/>
  <c r="V46" i="5"/>
  <c r="AA35" i="5"/>
  <c r="AA31" i="5"/>
  <c r="AA18" i="5"/>
  <c r="I13" i="5"/>
  <c r="L26" i="5"/>
  <c r="V39" i="5"/>
  <c r="V34" i="5"/>
  <c r="L44" i="5"/>
  <c r="AA43" i="5"/>
  <c r="P18" i="5"/>
  <c r="I41" i="5"/>
  <c r="AG8" i="5"/>
  <c r="J8" i="5" s="1"/>
  <c r="Z14" i="5"/>
  <c r="X14" i="5" s="1"/>
  <c r="V16" i="5"/>
  <c r="I21" i="5"/>
  <c r="P39" i="5"/>
  <c r="L36" i="5"/>
  <c r="L34" i="5"/>
  <c r="V31" i="5"/>
  <c r="AA39" i="5"/>
  <c r="O47" i="5"/>
  <c r="N15" i="5"/>
  <c r="U15" i="5"/>
  <c r="M15" i="5"/>
  <c r="W15" i="5"/>
  <c r="I15" i="5"/>
  <c r="S15" i="5"/>
  <c r="O15" i="5"/>
  <c r="Q15" i="5"/>
  <c r="R15" i="5"/>
  <c r="R20" i="5"/>
  <c r="S20" i="5"/>
  <c r="M20" i="5"/>
  <c r="U20" i="5"/>
  <c r="I20" i="5"/>
  <c r="Q20" i="5"/>
  <c r="P26" i="5"/>
  <c r="Q26" i="5"/>
  <c r="O26" i="5"/>
  <c r="Z5" i="5"/>
  <c r="X5" i="5" s="1"/>
  <c r="J19" i="5"/>
  <c r="W19" i="5"/>
  <c r="O19" i="5"/>
  <c r="U24" i="5"/>
  <c r="M24" i="5"/>
  <c r="O24" i="5"/>
  <c r="N24" i="5"/>
  <c r="S21" i="5"/>
  <c r="W24" i="5"/>
  <c r="N39" i="5"/>
  <c r="S53" i="5"/>
  <c r="O53" i="5"/>
  <c r="S49" i="5"/>
  <c r="W49" i="5"/>
  <c r="Q10" i="5"/>
  <c r="I9" i="5"/>
  <c r="W9" i="5"/>
  <c r="O9" i="5"/>
  <c r="W10" i="5"/>
  <c r="AG18" i="5"/>
  <c r="J18" i="5" s="1"/>
  <c r="Z18" i="5"/>
  <c r="X18" i="5" s="1"/>
  <c r="V18" i="5"/>
  <c r="I14" i="5"/>
  <c r="Q14" i="5"/>
  <c r="R14" i="5"/>
  <c r="S14" i="5"/>
  <c r="P14" i="5"/>
  <c r="AA28" i="5"/>
  <c r="AG28" i="5"/>
  <c r="J28" i="5" s="1"/>
  <c r="Z28" i="5"/>
  <c r="X28" i="5" s="1"/>
  <c r="V28" i="5"/>
  <c r="L28" i="5"/>
  <c r="I26" i="5"/>
  <c r="M23" i="5"/>
  <c r="O23" i="5"/>
  <c r="S23" i="5"/>
  <c r="W23" i="5"/>
  <c r="R21" i="5"/>
  <c r="S35" i="5"/>
  <c r="O35" i="5"/>
  <c r="I35" i="5"/>
  <c r="Q32" i="5"/>
  <c r="L56" i="5"/>
  <c r="AA56" i="5"/>
  <c r="AG56" i="5"/>
  <c r="J56" i="5" s="1"/>
  <c r="AA52" i="5"/>
  <c r="Z52" i="5"/>
  <c r="X52" i="5" s="1"/>
  <c r="L52" i="5"/>
  <c r="AG52" i="5"/>
  <c r="J52" i="5" s="1"/>
  <c r="L48" i="5"/>
  <c r="AG48" i="5"/>
  <c r="J48" i="5" s="1"/>
  <c r="Z48" i="5"/>
  <c r="X48" i="5" s="1"/>
  <c r="AA48" i="5"/>
  <c r="Z6" i="5"/>
  <c r="X6" i="5" s="1"/>
  <c r="AG6" i="5"/>
  <c r="Z23" i="5"/>
  <c r="X23" i="5" s="1"/>
  <c r="V23" i="5"/>
  <c r="L23" i="5"/>
  <c r="I27" i="5"/>
  <c r="O27" i="5"/>
  <c r="P27" i="5"/>
  <c r="W27" i="5"/>
  <c r="W26" i="5"/>
  <c r="M16" i="5"/>
  <c r="W16" i="5"/>
  <c r="N16" i="5"/>
  <c r="O16" i="5"/>
  <c r="P16" i="5"/>
  <c r="Q16" i="5"/>
  <c r="Z29" i="5"/>
  <c r="X29" i="5" s="1"/>
  <c r="AG29" i="5"/>
  <c r="J29" i="5" s="1"/>
  <c r="I36" i="5"/>
  <c r="Q36" i="5"/>
  <c r="O39" i="5"/>
  <c r="P31" i="5"/>
  <c r="W12" i="5"/>
  <c r="AG20" i="5"/>
  <c r="J20" i="5" s="1"/>
  <c r="V20" i="5"/>
  <c r="P29" i="5"/>
  <c r="W29" i="5"/>
  <c r="Q29" i="5"/>
  <c r="I29" i="5"/>
  <c r="U29" i="5"/>
  <c r="O29" i="5"/>
  <c r="O31" i="5"/>
  <c r="Z3" i="5"/>
  <c r="X3" i="5" s="1"/>
  <c r="AG3" i="5"/>
  <c r="W11" i="5"/>
  <c r="S18" i="5"/>
  <c r="W18" i="5"/>
  <c r="P20" i="5"/>
  <c r="O18" i="5"/>
  <c r="R16" i="5"/>
  <c r="W14" i="5"/>
  <c r="W28" i="5"/>
  <c r="Z21" i="5"/>
  <c r="X21" i="5" s="1"/>
  <c r="V21" i="5"/>
  <c r="L21" i="5"/>
  <c r="AG21" i="5"/>
  <c r="J21" i="5" s="1"/>
  <c r="S24" i="5"/>
  <c r="Q21" i="5"/>
  <c r="O36" i="5"/>
  <c r="M56" i="5"/>
  <c r="W56" i="5"/>
  <c r="O56" i="5"/>
  <c r="S56" i="5"/>
  <c r="O20" i="5"/>
  <c r="W20" i="5"/>
  <c r="O38" i="5"/>
  <c r="N30" i="5"/>
  <c r="O30" i="5"/>
  <c r="L10" i="5"/>
  <c r="AA10" i="5"/>
  <c r="Z10" i="5"/>
  <c r="X10" i="5" s="1"/>
  <c r="N20" i="5"/>
  <c r="J16" i="5"/>
  <c r="V29" i="5"/>
  <c r="Q24" i="5"/>
  <c r="AA37" i="5"/>
  <c r="V37" i="5"/>
  <c r="AA33" i="5"/>
  <c r="V33" i="5"/>
  <c r="AG33" i="5"/>
  <c r="J33" i="5" s="1"/>
  <c r="L33" i="5"/>
  <c r="N42" i="5"/>
  <c r="U42" i="5"/>
  <c r="S55" i="5"/>
  <c r="N55" i="5"/>
  <c r="U55" i="5"/>
  <c r="S51" i="5"/>
  <c r="L20" i="5"/>
  <c r="AA20" i="5"/>
  <c r="M21" i="5"/>
  <c r="U21" i="5"/>
  <c r="N21" i="5"/>
  <c r="P21" i="5"/>
  <c r="W21" i="5"/>
  <c r="O21" i="5"/>
  <c r="P34" i="5"/>
  <c r="Q34" i="5"/>
  <c r="R34" i="5"/>
  <c r="I34" i="5"/>
  <c r="S34" i="5"/>
  <c r="O34" i="5"/>
  <c r="R39" i="5"/>
  <c r="S39" i="5"/>
  <c r="M39" i="5"/>
  <c r="U39" i="5"/>
  <c r="I39" i="5"/>
  <c r="Q39" i="5"/>
  <c r="R31" i="5"/>
  <c r="S31" i="5"/>
  <c r="M31" i="5"/>
  <c r="U31" i="5"/>
  <c r="N31" i="5"/>
  <c r="I31" i="5"/>
  <c r="Q31" i="5"/>
  <c r="I10" i="5"/>
  <c r="Z17" i="5"/>
  <c r="X17" i="5" s="1"/>
  <c r="V17" i="5"/>
  <c r="AA17" i="5"/>
  <c r="AG17" i="5"/>
  <c r="J17" i="5" s="1"/>
  <c r="L17" i="5"/>
  <c r="Z7" i="5"/>
  <c r="X7" i="5" s="1"/>
  <c r="AG7" i="5"/>
  <c r="O13" i="5"/>
  <c r="S10" i="5"/>
  <c r="O10" i="5"/>
  <c r="P10" i="5"/>
  <c r="R10" i="5"/>
  <c r="N10" i="5"/>
  <c r="Z20" i="5"/>
  <c r="X20" i="5" s="1"/>
  <c r="W17" i="5"/>
  <c r="I17" i="5"/>
  <c r="S17" i="5"/>
  <c r="P17" i="5"/>
  <c r="I16" i="5"/>
  <c r="AG26" i="5"/>
  <c r="J26" i="5" s="1"/>
  <c r="V26" i="5"/>
  <c r="Z26" i="5"/>
  <c r="X26" i="5" s="1"/>
  <c r="N29" i="5"/>
  <c r="I37" i="5"/>
  <c r="M33" i="5"/>
  <c r="P33" i="5"/>
  <c r="Q33" i="5"/>
  <c r="O33" i="5"/>
  <c r="S33" i="5"/>
  <c r="N32" i="5"/>
  <c r="S32" i="5"/>
  <c r="U32" i="5"/>
  <c r="M32" i="5"/>
  <c r="O32" i="5"/>
  <c r="I32" i="5"/>
  <c r="R32" i="5"/>
  <c r="W30" i="5"/>
  <c r="L45" i="5"/>
  <c r="AA45" i="5"/>
  <c r="W22" i="5"/>
  <c r="L16" i="5"/>
  <c r="Z22" i="5"/>
  <c r="X22" i="5" s="1"/>
  <c r="L27" i="5"/>
  <c r="L25" i="5"/>
  <c r="O22" i="5"/>
  <c r="R44" i="5"/>
  <c r="J40" i="5"/>
  <c r="AA40" i="5"/>
  <c r="AA32" i="5"/>
  <c r="AG44" i="5"/>
  <c r="J44" i="5" s="1"/>
  <c r="P25" i="5"/>
  <c r="U22" i="5"/>
  <c r="V32" i="5"/>
  <c r="V40" i="5"/>
  <c r="AA44" i="5"/>
  <c r="AA36" i="5"/>
  <c r="Q48" i="5"/>
  <c r="Z44" i="5"/>
  <c r="P48" i="5"/>
  <c r="AG4" i="5"/>
  <c r="AA15" i="5"/>
  <c r="V15" i="5"/>
  <c r="AG24" i="5"/>
  <c r="J24" i="5" s="1"/>
  <c r="V25" i="5"/>
  <c r="N25" i="5"/>
  <c r="S22" i="5"/>
  <c r="L30" i="5"/>
  <c r="AG41" i="5"/>
  <c r="J41" i="5" s="1"/>
  <c r="AA34" i="5"/>
  <c r="O48" i="5"/>
  <c r="U47" i="5"/>
  <c r="W47" i="5"/>
  <c r="X44" i="5"/>
  <c r="AG22" i="5"/>
  <c r="J22" i="5" s="1"/>
  <c r="AA22" i="5"/>
  <c r="U25" i="5"/>
  <c r="L24" i="5"/>
  <c r="P22" i="5"/>
  <c r="V36" i="5"/>
  <c r="Z40" i="5"/>
  <c r="X40" i="5" s="1"/>
  <c r="AA41" i="5"/>
  <c r="S47" i="5"/>
  <c r="I54" i="5"/>
  <c r="O54" i="5"/>
  <c r="P54" i="5"/>
  <c r="U54" i="5"/>
  <c r="M54" i="5"/>
  <c r="W54" i="5"/>
  <c r="I50" i="5"/>
  <c r="W50" i="5"/>
  <c r="M50" i="5"/>
  <c r="O50" i="5"/>
  <c r="P50" i="5"/>
  <c r="U50" i="5"/>
  <c r="W52" i="5"/>
  <c r="M52" i="5"/>
  <c r="U52" i="5"/>
  <c r="N52" i="5"/>
  <c r="O52" i="5"/>
  <c r="I52" i="5"/>
  <c r="P52" i="5"/>
  <c r="Q52" i="5"/>
  <c r="R52" i="5"/>
  <c r="S52" i="5"/>
  <c r="Z50" i="5"/>
  <c r="X50" i="5" s="1"/>
  <c r="R56" i="5"/>
  <c r="R51" i="5"/>
  <c r="AG50" i="5"/>
  <c r="J50" i="5" s="1"/>
  <c r="AA49" i="5"/>
  <c r="Q56" i="5"/>
  <c r="I56" i="5"/>
  <c r="R55" i="5"/>
  <c r="O51" i="5"/>
  <c r="V50" i="5"/>
  <c r="N48" i="5"/>
  <c r="M47" i="5"/>
  <c r="L54" i="5"/>
  <c r="AA50" i="5"/>
  <c r="W55" i="5"/>
  <c r="AG49" i="5"/>
  <c r="J49" i="5" s="1"/>
  <c r="P56" i="5"/>
  <c r="O55" i="5"/>
  <c r="V54" i="5"/>
  <c r="N51" i="5"/>
  <c r="V49" i="5"/>
  <c r="U48" i="5"/>
  <c r="M48" i="5"/>
  <c r="W53" i="5"/>
  <c r="Z54" i="5"/>
  <c r="X54" i="5" s="1"/>
  <c r="M51" i="5"/>
  <c r="AA54" i="5"/>
  <c r="N56" i="5"/>
  <c r="M55" i="5"/>
  <c r="R53" i="5"/>
  <c r="S48" i="5"/>
  <c r="W51" i="5"/>
  <c r="R49" i="5"/>
  <c r="U56" i="5"/>
  <c r="U51" i="5"/>
  <c r="R48" i="5"/>
  <c r="Q53" i="5"/>
  <c r="I53" i="5"/>
  <c r="Q49" i="5"/>
  <c r="I49" i="5"/>
  <c r="N54" i="5"/>
  <c r="P53" i="5"/>
  <c r="N50" i="5"/>
  <c r="P49" i="5"/>
  <c r="N53" i="5"/>
  <c r="Q55" i="5"/>
  <c r="I55" i="5"/>
  <c r="S54" i="5"/>
  <c r="U53" i="5"/>
  <c r="M53" i="5"/>
  <c r="Q51" i="5"/>
  <c r="I51" i="5"/>
  <c r="S50" i="5"/>
  <c r="U49" i="5"/>
  <c r="M49" i="5"/>
  <c r="Q47" i="5"/>
  <c r="I47" i="5"/>
  <c r="P55" i="5"/>
  <c r="R54" i="5"/>
  <c r="J54" i="5"/>
  <c r="P51" i="5"/>
  <c r="R50" i="5"/>
  <c r="P47" i="5"/>
  <c r="O49" i="5"/>
  <c r="N49" i="5"/>
  <c r="Q54" i="5"/>
  <c r="Q50" i="5"/>
  <c r="W46" i="5"/>
  <c r="M46" i="5"/>
  <c r="U46" i="5"/>
  <c r="N46" i="5"/>
  <c r="O46" i="5"/>
  <c r="Q46" i="5"/>
  <c r="P46" i="5"/>
  <c r="I46" i="5"/>
  <c r="J46" i="5"/>
  <c r="R46" i="5"/>
  <c r="S46" i="5"/>
  <c r="P43" i="5"/>
  <c r="Q43" i="5"/>
  <c r="I43" i="5"/>
  <c r="R43" i="5"/>
  <c r="J43" i="5"/>
  <c r="S43" i="5"/>
  <c r="O43" i="5"/>
  <c r="W43" i="5"/>
  <c r="M43" i="5"/>
  <c r="U43" i="5"/>
  <c r="N43" i="5"/>
  <c r="S45" i="5"/>
  <c r="O45" i="5"/>
  <c r="R45" i="5"/>
  <c r="J45" i="5"/>
  <c r="W45" i="5"/>
  <c r="P44" i="5"/>
  <c r="O42" i="5"/>
  <c r="P41" i="5"/>
  <c r="W44" i="5"/>
  <c r="O44" i="5"/>
  <c r="M42" i="5"/>
  <c r="O41" i="5"/>
  <c r="O40" i="5"/>
  <c r="M44" i="5"/>
  <c r="L43" i="5"/>
  <c r="N41" i="5"/>
  <c r="W42" i="5"/>
  <c r="Z45" i="5"/>
  <c r="X45" i="5" s="1"/>
  <c r="Z43" i="5"/>
  <c r="X43" i="5" s="1"/>
  <c r="Z41" i="5"/>
  <c r="X41" i="5" s="1"/>
  <c r="V43" i="5"/>
  <c r="V45" i="5"/>
  <c r="M41" i="5"/>
  <c r="W41" i="5"/>
  <c r="V41" i="5"/>
  <c r="U44" i="5"/>
  <c r="W40" i="5"/>
  <c r="S44" i="5"/>
  <c r="U41" i="5"/>
  <c r="Q45" i="5"/>
  <c r="I45" i="5"/>
  <c r="N40" i="5"/>
  <c r="P45" i="5"/>
  <c r="Q44" i="5"/>
  <c r="I44" i="5"/>
  <c r="S42" i="5"/>
  <c r="U40" i="5"/>
  <c r="M40" i="5"/>
  <c r="R42" i="5"/>
  <c r="N45" i="5"/>
  <c r="Q42" i="5"/>
  <c r="I42" i="5"/>
  <c r="R41" i="5"/>
  <c r="S40" i="5"/>
  <c r="U45" i="5"/>
  <c r="M45" i="5"/>
  <c r="P42" i="5"/>
  <c r="Q41" i="5"/>
  <c r="R40" i="5"/>
  <c r="Q40" i="5"/>
  <c r="I40" i="5"/>
  <c r="P40" i="5"/>
  <c r="S38" i="5"/>
  <c r="U36" i="5"/>
  <c r="M36" i="5"/>
  <c r="N35" i="5"/>
  <c r="S30" i="5"/>
  <c r="Q38" i="5"/>
  <c r="I38" i="5"/>
  <c r="R37" i="5"/>
  <c r="S36" i="5"/>
  <c r="U34" i="5"/>
  <c r="M34" i="5"/>
  <c r="N33" i="5"/>
  <c r="Q30" i="5"/>
  <c r="I30" i="5"/>
  <c r="N38" i="5"/>
  <c r="U38" i="5"/>
  <c r="M38" i="5"/>
  <c r="N37" i="5"/>
  <c r="U30" i="5"/>
  <c r="M30" i="5"/>
  <c r="U37" i="5"/>
  <c r="M37" i="5"/>
  <c r="N36" i="5"/>
  <c r="R38" i="5"/>
  <c r="S37" i="5"/>
  <c r="U35" i="5"/>
  <c r="M35" i="5"/>
  <c r="N34" i="5"/>
  <c r="R30" i="5"/>
  <c r="P38" i="5"/>
  <c r="Q37" i="5"/>
  <c r="R36" i="5"/>
  <c r="U33" i="5"/>
  <c r="P30" i="5"/>
  <c r="X31" i="5"/>
  <c r="X30" i="5"/>
  <c r="AG39" i="5"/>
  <c r="J39" i="5" s="1"/>
  <c r="AG31" i="5"/>
  <c r="J31" i="5" s="1"/>
  <c r="Z37" i="5"/>
  <c r="X37" i="5" s="1"/>
  <c r="AG37" i="5"/>
  <c r="J37" i="5" s="1"/>
  <c r="AG36" i="5"/>
  <c r="J36" i="5" s="1"/>
  <c r="Z35" i="5"/>
  <c r="X35" i="5" s="1"/>
  <c r="X34" i="5"/>
  <c r="X36" i="5"/>
  <c r="AG35" i="5"/>
  <c r="J35" i="5" s="1"/>
  <c r="Z33" i="5"/>
  <c r="X33" i="5" s="1"/>
  <c r="AG34" i="5"/>
  <c r="J34" i="5" s="1"/>
  <c r="S29" i="5"/>
  <c r="U27" i="5"/>
  <c r="M27" i="5"/>
  <c r="N26" i="5"/>
  <c r="P24" i="5"/>
  <c r="Q23" i="5"/>
  <c r="I23" i="5"/>
  <c r="R22" i="5"/>
  <c r="N28" i="5"/>
  <c r="U28" i="5"/>
  <c r="M28" i="5"/>
  <c r="N27" i="5"/>
  <c r="R23" i="5"/>
  <c r="R29" i="5"/>
  <c r="S28" i="5"/>
  <c r="U26" i="5"/>
  <c r="M26" i="5"/>
  <c r="P23" i="5"/>
  <c r="Q22" i="5"/>
  <c r="I22" i="5"/>
  <c r="Q28" i="5"/>
  <c r="I28" i="5"/>
  <c r="S26" i="5"/>
  <c r="N23" i="5"/>
  <c r="R28" i="5"/>
  <c r="S27" i="5"/>
  <c r="R27" i="5"/>
  <c r="P28" i="5"/>
  <c r="Q27" i="5"/>
  <c r="R26" i="5"/>
  <c r="U23" i="5"/>
  <c r="AG23" i="5"/>
  <c r="J23" i="5" s="1"/>
  <c r="AG27" i="5"/>
  <c r="J27" i="5" s="1"/>
  <c r="AA29" i="5"/>
  <c r="AA27" i="5"/>
  <c r="AA25" i="5"/>
  <c r="AA23" i="5"/>
  <c r="AA21" i="5"/>
  <c r="AG25" i="5"/>
  <c r="J25" i="5" s="1"/>
  <c r="Q19" i="5"/>
  <c r="I19" i="5"/>
  <c r="R18" i="5"/>
  <c r="P19" i="5"/>
  <c r="Q18" i="5"/>
  <c r="I18" i="5"/>
  <c r="R17" i="5"/>
  <c r="S16" i="5"/>
  <c r="U18" i="5"/>
  <c r="M18" i="5"/>
  <c r="N17" i="5"/>
  <c r="P15" i="5"/>
  <c r="U19" i="5"/>
  <c r="N18" i="5"/>
  <c r="S19" i="5"/>
  <c r="U17" i="5"/>
  <c r="M17" i="5"/>
  <c r="N19" i="5"/>
  <c r="M19" i="5"/>
  <c r="R19" i="5"/>
  <c r="U16" i="5"/>
  <c r="X15" i="5"/>
  <c r="Z19" i="5"/>
  <c r="X19" i="5" s="1"/>
  <c r="M11" i="5"/>
  <c r="U11" i="5"/>
  <c r="N11" i="5"/>
  <c r="O11" i="5"/>
  <c r="I11" i="5"/>
  <c r="Q11" i="5"/>
  <c r="R11" i="5"/>
  <c r="S11" i="5"/>
  <c r="P11" i="5"/>
  <c r="O12" i="5"/>
  <c r="Q12" i="5"/>
  <c r="P12" i="5"/>
  <c r="I12" i="5"/>
  <c r="U12" i="5"/>
  <c r="S12" i="5"/>
  <c r="N12" i="5"/>
  <c r="R12" i="5"/>
  <c r="M12" i="5"/>
  <c r="O8" i="5"/>
  <c r="I8" i="5"/>
  <c r="Q8" i="5"/>
  <c r="R8" i="5"/>
  <c r="P8" i="5"/>
  <c r="M8" i="5"/>
  <c r="S8" i="5"/>
  <c r="N8" i="5"/>
  <c r="U8" i="5"/>
  <c r="L13" i="5"/>
  <c r="L9" i="5"/>
  <c r="S13" i="5"/>
  <c r="X13" i="5"/>
  <c r="P13" i="5"/>
  <c r="V12" i="5"/>
  <c r="L11" i="5"/>
  <c r="X9" i="5"/>
  <c r="P9" i="5"/>
  <c r="V8" i="5"/>
  <c r="V13" i="5"/>
  <c r="N13" i="5"/>
  <c r="L12" i="5"/>
  <c r="V9" i="5"/>
  <c r="N9" i="5"/>
  <c r="L8" i="5"/>
  <c r="AG12" i="5"/>
  <c r="J12" i="5" s="1"/>
  <c r="U13" i="5"/>
  <c r="M13" i="5"/>
  <c r="Z11" i="5"/>
  <c r="X11" i="5" s="1"/>
  <c r="U9" i="5"/>
  <c r="M9" i="5"/>
  <c r="Z12" i="5"/>
  <c r="X12" i="5" s="1"/>
  <c r="AG9" i="5"/>
  <c r="J9" i="5" s="1"/>
  <c r="AA9" i="5"/>
  <c r="R9" i="5"/>
  <c r="X8" i="5"/>
  <c r="S9" i="5"/>
  <c r="AA13" i="5"/>
  <c r="R13" i="5"/>
  <c r="Q13" i="5"/>
  <c r="Q9" i="5"/>
  <c r="V2" i="5"/>
  <c r="V3" i="5"/>
  <c r="AA5" i="5"/>
  <c r="AA4" i="5"/>
  <c r="AA3" i="5"/>
  <c r="AA2" i="5"/>
  <c r="AA7" i="5"/>
  <c r="AA6" i="5"/>
  <c r="R2" i="25" l="1"/>
  <c r="P2" i="25"/>
  <c r="P3" i="25"/>
  <c r="H3" i="25"/>
  <c r="O3" i="25"/>
  <c r="N3" i="25"/>
  <c r="Q3" i="25"/>
  <c r="I3" i="25"/>
  <c r="J3" i="25"/>
  <c r="U3" i="25"/>
  <c r="S3" i="25"/>
  <c r="R3" i="25"/>
  <c r="M3" i="25"/>
  <c r="P7" i="24"/>
  <c r="M8" i="24"/>
  <c r="O8" i="24"/>
  <c r="H8" i="24"/>
  <c r="Q8" i="24"/>
  <c r="R8" i="24"/>
  <c r="J8" i="24"/>
  <c r="P8" i="24"/>
  <c r="I8" i="24"/>
  <c r="S8" i="24"/>
  <c r="W8" i="24"/>
  <c r="N8" i="24"/>
  <c r="S7" i="24"/>
  <c r="O7" i="24"/>
  <c r="R7" i="24"/>
  <c r="O3" i="24"/>
  <c r="P3" i="24"/>
  <c r="R3" i="24"/>
  <c r="Q3" i="24"/>
  <c r="Q2" i="24"/>
  <c r="S2" i="24"/>
  <c r="O2" i="24"/>
  <c r="R2" i="24"/>
  <c r="D12" i="19"/>
  <c r="C12" i="19"/>
  <c r="AN5" i="5" l="1"/>
  <c r="H88" i="5" l="1"/>
  <c r="H77" i="5"/>
  <c r="H64" i="5"/>
  <c r="H17" i="5"/>
  <c r="H25" i="5"/>
  <c r="H54" i="5"/>
  <c r="H53" i="5"/>
  <c r="H44" i="5"/>
  <c r="H45" i="5"/>
  <c r="H13" i="5"/>
  <c r="H19" i="5"/>
  <c r="H72" i="5"/>
  <c r="H62" i="5"/>
  <c r="H32" i="5"/>
  <c r="H26" i="5"/>
  <c r="H10" i="5"/>
  <c r="H69" i="5"/>
  <c r="H71" i="5"/>
  <c r="H35" i="5"/>
  <c r="H14" i="5"/>
  <c r="H46" i="5"/>
  <c r="H39" i="5"/>
  <c r="H56" i="5"/>
  <c r="H86" i="5"/>
  <c r="H87" i="5"/>
  <c r="H74" i="5"/>
  <c r="H66" i="5"/>
  <c r="H73" i="5"/>
  <c r="H48" i="5"/>
  <c r="H65" i="5"/>
  <c r="H59" i="5"/>
  <c r="H58" i="5"/>
  <c r="H61" i="5"/>
  <c r="H24" i="5"/>
  <c r="H16" i="5"/>
  <c r="H43" i="5"/>
  <c r="H42" i="5"/>
  <c r="H34" i="5"/>
  <c r="H78" i="5"/>
  <c r="H30" i="5"/>
  <c r="H83" i="5"/>
  <c r="H80" i="5"/>
  <c r="H40" i="5"/>
  <c r="H36" i="5"/>
  <c r="H55" i="5"/>
  <c r="H37" i="5"/>
  <c r="H82" i="5"/>
  <c r="H84" i="5"/>
  <c r="H67" i="5"/>
  <c r="H60" i="5"/>
  <c r="H29" i="5"/>
  <c r="H28" i="5"/>
  <c r="H38" i="5"/>
  <c r="H22" i="5"/>
  <c r="H47" i="5"/>
  <c r="H41" i="5"/>
  <c r="H11" i="5"/>
  <c r="H27" i="5"/>
  <c r="H49" i="5"/>
  <c r="H8" i="5"/>
  <c r="H20" i="5"/>
  <c r="H63" i="5"/>
  <c r="H89" i="5"/>
  <c r="H75" i="5"/>
  <c r="H68" i="5"/>
  <c r="H57" i="5"/>
  <c r="H50" i="5"/>
  <c r="H52" i="5"/>
  <c r="H23" i="5"/>
  <c r="H79" i="5"/>
  <c r="H51" i="5"/>
  <c r="H81" i="5"/>
  <c r="H21" i="5"/>
  <c r="H15" i="5"/>
  <c r="H85" i="5"/>
  <c r="H31" i="5"/>
  <c r="H33" i="5"/>
  <c r="H18" i="5"/>
  <c r="H12" i="5"/>
  <c r="H9" i="5"/>
  <c r="H76" i="5"/>
  <c r="H70" i="5"/>
  <c r="G2" i="5"/>
  <c r="V6" i="5"/>
  <c r="V5" i="5"/>
  <c r="V4" i="5"/>
  <c r="V7" i="5"/>
  <c r="G6" i="5"/>
  <c r="AK4" i="5"/>
  <c r="L4" i="5"/>
  <c r="G7" i="5"/>
  <c r="G5" i="5"/>
  <c r="AJ7" i="5"/>
  <c r="K7" i="5" s="1"/>
  <c r="L7" i="5"/>
  <c r="AK3" i="5"/>
  <c r="L3" i="5"/>
  <c r="L6" i="5"/>
  <c r="AJ2" i="5"/>
  <c r="K2" i="5" s="1"/>
  <c r="L2" i="5"/>
  <c r="AK5" i="5"/>
  <c r="L5" i="5"/>
  <c r="G4" i="5"/>
  <c r="G3" i="5"/>
  <c r="AJ5" i="5"/>
  <c r="K5" i="5" s="1"/>
  <c r="AK7" i="5"/>
  <c r="AK2" i="5"/>
  <c r="AJ4" i="5"/>
  <c r="K4" i="5" s="1"/>
  <c r="AK6" i="5"/>
  <c r="AJ3" i="5"/>
  <c r="K3" i="5" s="1"/>
  <c r="AJ6" i="5"/>
  <c r="K6" i="5" s="1"/>
  <c r="AN6" i="5"/>
  <c r="W2" i="5" l="1"/>
  <c r="U2" i="5"/>
  <c r="R3" i="5"/>
  <c r="W3" i="5"/>
  <c r="N6" i="5"/>
  <c r="W6" i="5"/>
  <c r="W4" i="5"/>
  <c r="O5" i="5"/>
  <c r="W5" i="5"/>
  <c r="R7" i="5"/>
  <c r="W7" i="5"/>
  <c r="I2" i="5"/>
  <c r="S7" i="5"/>
  <c r="M2" i="5"/>
  <c r="R2" i="5"/>
  <c r="Q2" i="5"/>
  <c r="H2" i="5"/>
  <c r="P2" i="5"/>
  <c r="S2" i="5"/>
  <c r="O2" i="5"/>
  <c r="N2" i="5"/>
  <c r="O6" i="5"/>
  <c r="U6" i="5"/>
  <c r="R5" i="5"/>
  <c r="H7" i="5"/>
  <c r="P7" i="5"/>
  <c r="U7" i="5"/>
  <c r="M7" i="5"/>
  <c r="Q7" i="5"/>
  <c r="N7" i="5"/>
  <c r="O7" i="5"/>
  <c r="I7" i="5"/>
  <c r="P6" i="5"/>
  <c r="I6" i="5"/>
  <c r="M6" i="5"/>
  <c r="H6" i="5"/>
  <c r="I3" i="5"/>
  <c r="S6" i="5"/>
  <c r="Q6" i="5"/>
  <c r="R6" i="5"/>
  <c r="Q3" i="5"/>
  <c r="I4" i="5"/>
  <c r="U3" i="5"/>
  <c r="P3" i="5"/>
  <c r="S3" i="5"/>
  <c r="O3" i="5"/>
  <c r="N5" i="5"/>
  <c r="H3" i="5"/>
  <c r="U5" i="5"/>
  <c r="P5" i="5"/>
  <c r="H5" i="5"/>
  <c r="M4" i="5"/>
  <c r="Q4" i="5"/>
  <c r="O4" i="5"/>
  <c r="R4" i="5"/>
  <c r="H4" i="5"/>
  <c r="M5" i="5"/>
  <c r="P4" i="5"/>
  <c r="S5" i="5"/>
  <c r="S4" i="5"/>
  <c r="U4" i="5"/>
  <c r="I5" i="5"/>
  <c r="Q5" i="5"/>
  <c r="N4" i="5"/>
  <c r="M3" i="5"/>
  <c r="N3" i="5"/>
  <c r="J4" i="5" l="1"/>
  <c r="J7" i="5"/>
  <c r="J2" i="5"/>
  <c r="J3" i="5"/>
  <c r="J6" i="5"/>
  <c r="J5" i="5"/>
  <c r="J71" i="5"/>
  <c r="J73" i="5"/>
  <c r="J72" i="5"/>
  <c r="U72" i="5"/>
  <c r="U73" i="5"/>
  <c r="U71" i="5"/>
</calcChain>
</file>

<file path=xl/comments1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2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3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4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5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6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7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sharedStrings.xml><?xml version="1.0" encoding="utf-8"?>
<sst xmlns="http://schemas.openxmlformats.org/spreadsheetml/2006/main" count="707" uniqueCount="159">
  <si>
    <t>M/EI</t>
  </si>
  <si>
    <t>a (mm)</t>
  </si>
  <si>
    <t xml:space="preserve">width (mm) </t>
  </si>
  <si>
    <t>fc(Mpa)</t>
  </si>
  <si>
    <t>E (Mpa)</t>
  </si>
  <si>
    <t>d (mm)</t>
  </si>
  <si>
    <t>As (mm^2)</t>
  </si>
  <si>
    <t>pho (%)</t>
  </si>
  <si>
    <t>h (mm)</t>
  </si>
  <si>
    <t>M/bd^2</t>
  </si>
  <si>
    <t>M/(As fy d)</t>
  </si>
  <si>
    <t>J(mm^4)</t>
  </si>
  <si>
    <t>G (Mpa)</t>
  </si>
  <si>
    <t>I (mm^4)</t>
  </si>
  <si>
    <t>fy (Mpa)</t>
  </si>
  <si>
    <t>V/(bd)</t>
  </si>
  <si>
    <t>V/(GJ)</t>
  </si>
  <si>
    <t>Length (mm)</t>
  </si>
  <si>
    <t>M (KN.mm)</t>
  </si>
  <si>
    <t>V (KN)</t>
  </si>
  <si>
    <t>Column1</t>
  </si>
  <si>
    <t>M/(bd)</t>
  </si>
  <si>
    <t>M/bh</t>
  </si>
  <si>
    <t>Image Name</t>
  </si>
  <si>
    <t>Final Image name</t>
  </si>
  <si>
    <t>Image Seri</t>
  </si>
  <si>
    <t>d</t>
  </si>
  <si>
    <t>Column2</t>
  </si>
  <si>
    <t>b (mm)</t>
  </si>
  <si>
    <t>fc (Mpa)</t>
  </si>
  <si>
    <t>L(mm)</t>
  </si>
  <si>
    <t>M/(bhl)</t>
  </si>
  <si>
    <t>Column3</t>
  </si>
  <si>
    <t>M/(bdl)</t>
  </si>
  <si>
    <t>M/(fc bhl)</t>
  </si>
  <si>
    <t>M/(bh (l/2))</t>
  </si>
  <si>
    <t>M/(abh (l/2))</t>
  </si>
  <si>
    <t>Column4</t>
  </si>
  <si>
    <t>M/(rho  bd)</t>
  </si>
  <si>
    <t>M/M_fracture</t>
  </si>
  <si>
    <t>a/d</t>
  </si>
  <si>
    <t>Width (in)</t>
  </si>
  <si>
    <t>Length (in)</t>
  </si>
  <si>
    <t>ρ (%)</t>
  </si>
  <si>
    <t>V/(2*sqrt(fc) bd)</t>
  </si>
  <si>
    <t>Test / Specimen Type</t>
  </si>
  <si>
    <t>4 point load, beam</t>
  </si>
  <si>
    <t>3 point load, beam</t>
  </si>
  <si>
    <t>d (in)</t>
  </si>
  <si>
    <t>Data set 6</t>
  </si>
  <si>
    <t>Data set 7</t>
  </si>
  <si>
    <t>Uniform loading</t>
  </si>
  <si>
    <t>Data set 8</t>
  </si>
  <si>
    <t>Data set 9</t>
  </si>
  <si>
    <t>Data set 10</t>
  </si>
  <si>
    <t>Data set 1</t>
  </si>
  <si>
    <t>Data set 2</t>
  </si>
  <si>
    <t>Data set 3</t>
  </si>
  <si>
    <t>Data set 4</t>
  </si>
  <si>
    <t>Data set 5</t>
  </si>
  <si>
    <t>No # specimens</t>
  </si>
  <si>
    <t>No # of images/load steps used</t>
  </si>
  <si>
    <t>3 point load, deep beam</t>
  </si>
  <si>
    <t xml:space="preserve"> 3 point load, haunched beam</t>
  </si>
  <si>
    <t>1.1 - 4.81</t>
  </si>
  <si>
    <t>1.3 - 1.55</t>
  </si>
  <si>
    <t>3.2-12.1</t>
  </si>
  <si>
    <t>9-22.5</t>
  </si>
  <si>
    <t>3 point load, beam &amp; slab</t>
  </si>
  <si>
    <t>10.5-26.3</t>
  </si>
  <si>
    <t>0.55-0.85</t>
  </si>
  <si>
    <t>18.6-32.4</t>
  </si>
  <si>
    <t>55-194</t>
  </si>
  <si>
    <t>2.97-3</t>
  </si>
  <si>
    <t>9.1-32.3</t>
  </si>
  <si>
    <t>1.2-1.3</t>
  </si>
  <si>
    <t>64.8-74.8</t>
  </si>
  <si>
    <t>9-22.6</t>
  </si>
  <si>
    <t>8.0-24</t>
  </si>
  <si>
    <t>78-195</t>
  </si>
  <si>
    <t>77.9-240</t>
  </si>
  <si>
    <t>2.3-2.9</t>
  </si>
  <si>
    <t>10.6-26.4</t>
  </si>
  <si>
    <t>0.63-0.98</t>
  </si>
  <si>
    <t>22.8-33.8</t>
  </si>
  <si>
    <t>42.5-318.9</t>
  </si>
  <si>
    <t>2.79-3.4</t>
  </si>
  <si>
    <t>11-57.1</t>
  </si>
  <si>
    <t>0.3-1.33</t>
  </si>
  <si>
    <t>29.1-77.3</t>
  </si>
  <si>
    <t>425-441.7</t>
  </si>
  <si>
    <t>2.8-2.9</t>
  </si>
  <si>
    <t>0.4-1.5</t>
  </si>
  <si>
    <t>26.2-28.3</t>
  </si>
  <si>
    <t>141-236</t>
  </si>
  <si>
    <t>-</t>
  </si>
  <si>
    <t>39-64</t>
  </si>
  <si>
    <t>70.8-118</t>
  </si>
  <si>
    <t>1.57-3.1</t>
  </si>
  <si>
    <t>35.4-59.1</t>
  </si>
  <si>
    <t>4.8-118.3</t>
  </si>
  <si>
    <t>42.5-937</t>
  </si>
  <si>
    <t>3-5.0</t>
  </si>
  <si>
    <t>3.2-151.2</t>
  </si>
  <si>
    <t>0.3-3.1</t>
  </si>
  <si>
    <t>18.6-77.3</t>
  </si>
  <si>
    <t>1.1-5.0</t>
  </si>
  <si>
    <t>Overall</t>
  </si>
  <si>
    <t>Av fy/(b S) (Mpa)</t>
  </si>
  <si>
    <t>d/s</t>
  </si>
  <si>
    <t>Av fy d/s (N)</t>
  </si>
  <si>
    <t>V/(2 sqrt(fc) bd+Av fy d/s )</t>
  </si>
  <si>
    <t>AX1</t>
  </si>
  <si>
    <t>AX2</t>
  </si>
  <si>
    <t>AX3</t>
  </si>
  <si>
    <t>AX4</t>
  </si>
  <si>
    <t>AX5</t>
  </si>
  <si>
    <t>AY2</t>
  </si>
  <si>
    <t>AY3</t>
  </si>
  <si>
    <t>AY4</t>
  </si>
  <si>
    <t>BM100</t>
  </si>
  <si>
    <t>BM100D</t>
  </si>
  <si>
    <t>UM100</t>
  </si>
  <si>
    <t>UM100D</t>
  </si>
  <si>
    <t>WM30C</t>
  </si>
  <si>
    <t>WM100C</t>
  </si>
  <si>
    <t>WM100D</t>
  </si>
  <si>
    <t>DB120M</t>
  </si>
  <si>
    <t>DB140M</t>
  </si>
  <si>
    <t>DB165M</t>
  </si>
  <si>
    <t>DB180M</t>
  </si>
  <si>
    <t>AW2_S</t>
  </si>
  <si>
    <t>AW3_S</t>
  </si>
  <si>
    <t>AW5_S</t>
  </si>
  <si>
    <t>AW7_S</t>
  </si>
  <si>
    <t>H50_2</t>
  </si>
  <si>
    <t>H50_3</t>
  </si>
  <si>
    <t>H50_4</t>
  </si>
  <si>
    <t>H60_2</t>
  </si>
  <si>
    <t>H60_3</t>
  </si>
  <si>
    <t>H75_2</t>
  </si>
  <si>
    <t>H75_3</t>
  </si>
  <si>
    <t>H75_4</t>
  </si>
  <si>
    <t>H100_2</t>
  </si>
  <si>
    <t>H100_3</t>
  </si>
  <si>
    <t>H100_4</t>
  </si>
  <si>
    <t>SB2003_6</t>
  </si>
  <si>
    <t>SB2012_6</t>
  </si>
  <si>
    <t>YB2000_4</t>
  </si>
  <si>
    <t>YB2000_6</t>
  </si>
  <si>
    <t>YB2000_9</t>
  </si>
  <si>
    <t>BS3_05</t>
  </si>
  <si>
    <t>BS3_1</t>
  </si>
  <si>
    <t>BS3_15</t>
  </si>
  <si>
    <t>BS3_2</t>
  </si>
  <si>
    <t xml:space="preserve">V </t>
  </si>
  <si>
    <t>V-aci</t>
  </si>
  <si>
    <t>M/(rho  bd)2</t>
  </si>
  <si>
    <t>M/(rho  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</si>
</sst>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14" borderId="0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/>
    </xf>
    <xf numFmtId="164" fontId="4" fillId="0" borderId="1" xfId="0" quotePrefix="1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0" fillId="1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0" fillId="20" borderId="0" xfId="0" applyFill="1"/>
    <xf numFmtId="0" fontId="0" fillId="18" borderId="0" xfId="0" applyFill="1"/>
    <xf numFmtId="0" fontId="0" fillId="21" borderId="0" xfId="0" applyFill="1"/>
    <xf numFmtId="0" fontId="0" fillId="16" borderId="0" xfId="0" applyFill="1"/>
    <xf numFmtId="0" fontId="0" fillId="22" borderId="0" xfId="0" applyFill="1"/>
  </cellXfs>
  <cellStyles count="1">
    <cellStyle name="Normal" xfId="0" builtinId="0"/>
  </cellStyles>
  <dxfs count="315"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0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'120Cracks'!$W$1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'120Cracks'!$W$2:$W$57</c:f>
              <c:numCache>
                <c:formatCode>General</c:formatCode>
                <c:ptCount val="56"/>
                <c:pt idx="0">
                  <c:v>0.12064516129032257</c:v>
                </c:pt>
                <c:pt idx="1">
                  <c:v>0.32258064516129031</c:v>
                </c:pt>
                <c:pt idx="2">
                  <c:v>0.5161290322580645</c:v>
                </c:pt>
                <c:pt idx="3">
                  <c:v>0.70967741935483875</c:v>
                </c:pt>
                <c:pt idx="4">
                  <c:v>0.90322580645161288</c:v>
                </c:pt>
                <c:pt idx="5">
                  <c:v>1</c:v>
                </c:pt>
                <c:pt idx="6">
                  <c:v>0.30303030303030304</c:v>
                </c:pt>
                <c:pt idx="7">
                  <c:v>0.48484848484848486</c:v>
                </c:pt>
                <c:pt idx="8">
                  <c:v>0.66666666666666674</c:v>
                </c:pt>
                <c:pt idx="9">
                  <c:v>0.84848484848484862</c:v>
                </c:pt>
                <c:pt idx="10">
                  <c:v>0.93939393939393934</c:v>
                </c:pt>
                <c:pt idx="11">
                  <c:v>1</c:v>
                </c:pt>
                <c:pt idx="12">
                  <c:v>0.27777777777777779</c:v>
                </c:pt>
                <c:pt idx="13">
                  <c:v>0.44444444444444448</c:v>
                </c:pt>
                <c:pt idx="14">
                  <c:v>0.77777777777777768</c:v>
                </c:pt>
                <c:pt idx="15">
                  <c:v>0.86111111111111116</c:v>
                </c:pt>
                <c:pt idx="16">
                  <c:v>0.90833333333333321</c:v>
                </c:pt>
                <c:pt idx="17">
                  <c:v>0.94444444444444442</c:v>
                </c:pt>
                <c:pt idx="18">
                  <c:v>1</c:v>
                </c:pt>
                <c:pt idx="19">
                  <c:v>0.1</c:v>
                </c:pt>
                <c:pt idx="20">
                  <c:v>0.4</c:v>
                </c:pt>
                <c:pt idx="21">
                  <c:v>0.7</c:v>
                </c:pt>
                <c:pt idx="22">
                  <c:v>0.77500000000000002</c:v>
                </c:pt>
                <c:pt idx="23">
                  <c:v>0.81850000000000001</c:v>
                </c:pt>
                <c:pt idx="24">
                  <c:v>0.85</c:v>
                </c:pt>
                <c:pt idx="25">
                  <c:v>0.9</c:v>
                </c:pt>
                <c:pt idx="26">
                  <c:v>0.95</c:v>
                </c:pt>
                <c:pt idx="27">
                  <c:v>1</c:v>
                </c:pt>
                <c:pt idx="28">
                  <c:v>0.11778563015312132</c:v>
                </c:pt>
                <c:pt idx="29">
                  <c:v>0.2343934040047114</c:v>
                </c:pt>
                <c:pt idx="30">
                  <c:v>0.35217903415783275</c:v>
                </c:pt>
                <c:pt idx="31">
                  <c:v>0.47114252061248529</c:v>
                </c:pt>
                <c:pt idx="32">
                  <c:v>0.61248527679623077</c:v>
                </c:pt>
                <c:pt idx="33">
                  <c:v>0.6478209658421672</c:v>
                </c:pt>
                <c:pt idx="34">
                  <c:v>0.73498233215547704</c:v>
                </c:pt>
                <c:pt idx="35">
                  <c:v>0.82449941107184932</c:v>
                </c:pt>
                <c:pt idx="36">
                  <c:v>0.91283863368669027</c:v>
                </c:pt>
                <c:pt idx="37">
                  <c:v>1</c:v>
                </c:pt>
                <c:pt idx="38">
                  <c:v>0.16346153846153846</c:v>
                </c:pt>
                <c:pt idx="39">
                  <c:v>0.32852564102564102</c:v>
                </c:pt>
                <c:pt idx="40">
                  <c:v>0.48076923076923078</c:v>
                </c:pt>
                <c:pt idx="41">
                  <c:v>0.63942307692307687</c:v>
                </c:pt>
                <c:pt idx="42">
                  <c:v>0.79967948717948711</c:v>
                </c:pt>
                <c:pt idx="43">
                  <c:v>0.8830128205128206</c:v>
                </c:pt>
                <c:pt idx="44">
                  <c:v>1</c:v>
                </c:pt>
                <c:pt idx="45">
                  <c:v>0.12264150943396226</c:v>
                </c:pt>
                <c:pt idx="46">
                  <c:v>0.23584905660377359</c:v>
                </c:pt>
                <c:pt idx="47">
                  <c:v>0.35259433962264153</c:v>
                </c:pt>
                <c:pt idx="48">
                  <c:v>0.47287735849056606</c:v>
                </c:pt>
                <c:pt idx="49">
                  <c:v>0.589622641509434</c:v>
                </c:pt>
                <c:pt idx="50">
                  <c:v>0.64858490566037741</c:v>
                </c:pt>
                <c:pt idx="51">
                  <c:v>0.73702830188679247</c:v>
                </c:pt>
                <c:pt idx="52">
                  <c:v>0.8242924528301887</c:v>
                </c:pt>
                <c:pt idx="53">
                  <c:v>0.91391509433962259</c:v>
                </c:pt>
                <c:pt idx="54">
                  <c:v>1</c:v>
                </c:pt>
                <c:pt idx="55">
                  <c:v>0.12919896640826872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6624"/>
        <c:axId val="153868160"/>
      </c:scatterChart>
      <c:valAx>
        <c:axId val="1538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68160"/>
        <c:crosses val="autoZero"/>
        <c:crossBetween val="midCat"/>
      </c:valAx>
      <c:valAx>
        <c:axId val="1538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6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'2specimen'!$W$1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'2specimen'!$W$2:$W$57</c:f>
              <c:numCache>
                <c:formatCode>General</c:formatCode>
                <c:ptCount val="56"/>
                <c:pt idx="0">
                  <c:v>0.5376344086021505</c:v>
                </c:pt>
                <c:pt idx="1">
                  <c:v>0.76804915514592931</c:v>
                </c:pt>
                <c:pt idx="2">
                  <c:v>0.84485407066052232</c:v>
                </c:pt>
                <c:pt idx="3">
                  <c:v>0.91551459293394777</c:v>
                </c:pt>
                <c:pt idx="4">
                  <c:v>0.98617511520737322</c:v>
                </c:pt>
                <c:pt idx="5">
                  <c:v>1</c:v>
                </c:pt>
                <c:pt idx="6">
                  <c:v>0.48979591836734693</c:v>
                </c:pt>
                <c:pt idx="7">
                  <c:v>0.65306122448979587</c:v>
                </c:pt>
                <c:pt idx="8">
                  <c:v>0.81632653061224492</c:v>
                </c:pt>
                <c:pt idx="9">
                  <c:v>0.93877551020408168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392"/>
        <c:axId val="65820928"/>
      </c:scatterChart>
      <c:valAx>
        <c:axId val="658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820928"/>
        <c:crosses val="autoZero"/>
        <c:crossBetween val="midCat"/>
      </c:valAx>
      <c:valAx>
        <c:axId val="658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'2specimen'!$V$1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'2specimen'!$V$2:$V$57</c:f>
              <c:numCache>
                <c:formatCode>General</c:formatCode>
                <c:ptCount val="56"/>
                <c:pt idx="0">
                  <c:v>0.34299452110029316</c:v>
                </c:pt>
                <c:pt idx="1">
                  <c:v>0.48999217300041881</c:v>
                </c:pt>
                <c:pt idx="2">
                  <c:v>0.53899139030046073</c:v>
                </c:pt>
                <c:pt idx="3">
                  <c:v>0.58407067021649928</c:v>
                </c:pt>
                <c:pt idx="4">
                  <c:v>0.62914995013253783</c:v>
                </c:pt>
                <c:pt idx="5">
                  <c:v>0.63796980924654545</c:v>
                </c:pt>
                <c:pt idx="6">
                  <c:v>0.63759855520949815</c:v>
                </c:pt>
                <c:pt idx="7">
                  <c:v>0.85013140694599754</c:v>
                </c:pt>
                <c:pt idx="8">
                  <c:v>1.062664258682497</c:v>
                </c:pt>
                <c:pt idx="9">
                  <c:v>1.2220638974848714</c:v>
                </c:pt>
                <c:pt idx="10">
                  <c:v>1.3017637168860587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3184"/>
        <c:axId val="157229056"/>
      </c:scatterChart>
      <c:valAx>
        <c:axId val="661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29056"/>
        <c:crosses val="autoZero"/>
        <c:crossBetween val="midCat"/>
      </c:valAx>
      <c:valAx>
        <c:axId val="1572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7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'2specimen'!$X$1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'2specimen'!$X$2:$X$246</c:f>
              <c:numCache>
                <c:formatCode>General</c:formatCode>
                <c:ptCount val="245"/>
                <c:pt idx="0">
                  <c:v>0.24971916173115685</c:v>
                </c:pt>
                <c:pt idx="1">
                  <c:v>0.3567416596159384</c:v>
                </c:pt>
                <c:pt idx="2">
                  <c:v>0.39241582557753224</c:v>
                </c:pt>
                <c:pt idx="3">
                  <c:v>0.42523605826219862</c:v>
                </c:pt>
                <c:pt idx="4">
                  <c:v>0.4580562909468649</c:v>
                </c:pt>
                <c:pt idx="5">
                  <c:v>0.4644776408199518</c:v>
                </c:pt>
                <c:pt idx="6">
                  <c:v>0.45929814981496564</c:v>
                </c:pt>
                <c:pt idx="7">
                  <c:v>0.61239753308662082</c:v>
                </c:pt>
                <c:pt idx="8">
                  <c:v>0.7654969163582761</c:v>
                </c:pt>
                <c:pt idx="9">
                  <c:v>0.88032145381201754</c:v>
                </c:pt>
                <c:pt idx="10">
                  <c:v>0.9377337225388882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8848"/>
        <c:axId val="32691328"/>
      </c:scatterChart>
      <c:valAx>
        <c:axId val="1590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2691328"/>
        <c:crosses val="autoZero"/>
        <c:crossBetween val="midCat"/>
      </c:valAx>
      <c:valAx>
        <c:axId val="326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3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'2meter'!$W$1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'2meter'!$W$2:$W$57</c:f>
              <c:numCache>
                <c:formatCode>General</c:formatCode>
                <c:ptCount val="56"/>
                <c:pt idx="0">
                  <c:v>0.17538461538461539</c:v>
                </c:pt>
                <c:pt idx="1">
                  <c:v>0.45538461538461544</c:v>
                </c:pt>
                <c:pt idx="2">
                  <c:v>0.57769230769230773</c:v>
                </c:pt>
                <c:pt idx="3">
                  <c:v>0.64846153846153842</c:v>
                </c:pt>
                <c:pt idx="4">
                  <c:v>0.74076923076923074</c:v>
                </c:pt>
                <c:pt idx="5">
                  <c:v>0.81</c:v>
                </c:pt>
                <c:pt idx="6">
                  <c:v>0.87538461538461543</c:v>
                </c:pt>
                <c:pt idx="7">
                  <c:v>0.96076923076923082</c:v>
                </c:pt>
                <c:pt idx="8">
                  <c:v>1</c:v>
                </c:pt>
                <c:pt idx="9">
                  <c:v>0.21652421652421655</c:v>
                </c:pt>
                <c:pt idx="10">
                  <c:v>0.5622032288698956</c:v>
                </c:pt>
                <c:pt idx="11">
                  <c:v>0.71320037986704665</c:v>
                </c:pt>
                <c:pt idx="12">
                  <c:v>0.80056980056980054</c:v>
                </c:pt>
                <c:pt idx="13">
                  <c:v>0.9145299145299145</c:v>
                </c:pt>
                <c:pt idx="14">
                  <c:v>1</c:v>
                </c:pt>
                <c:pt idx="15">
                  <c:v>0.26198439241917504</c:v>
                </c:pt>
                <c:pt idx="16">
                  <c:v>0.39018952062430318</c:v>
                </c:pt>
                <c:pt idx="17">
                  <c:v>0.51393534002229657</c:v>
                </c:pt>
                <c:pt idx="18">
                  <c:v>0.63322185061315495</c:v>
                </c:pt>
                <c:pt idx="19">
                  <c:v>0.83612040133779253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920"/>
        <c:axId val="66019712"/>
      </c:scatterChart>
      <c:valAx>
        <c:axId val="660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66019712"/>
        <c:crosses val="autoZero"/>
        <c:crossBetween val="midCat"/>
      </c:valAx>
      <c:valAx>
        <c:axId val="660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1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'2meter'!$V$1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'2meter'!$V$2:$V$57</c:f>
              <c:numCache>
                <c:formatCode>General</c:formatCode>
                <c:ptCount val="56"/>
                <c:pt idx="0">
                  <c:v>0.21468543079256508</c:v>
                </c:pt>
                <c:pt idx="1">
                  <c:v>0.55742883784736197</c:v>
                </c:pt>
                <c:pt idx="2">
                  <c:v>0.70714367774217712</c:v>
                </c:pt>
                <c:pt idx="3">
                  <c:v>0.7937711322725105</c:v>
                </c:pt>
                <c:pt idx="4">
                  <c:v>0.90676346426859733</c:v>
                </c:pt>
                <c:pt idx="5">
                  <c:v>0.99150771326566245</c:v>
                </c:pt>
                <c:pt idx="6">
                  <c:v>1.0715439484295575</c:v>
                </c:pt>
                <c:pt idx="7">
                  <c:v>1.1760618555259377</c:v>
                </c:pt>
                <c:pt idx="8">
                  <c:v>1.2240835966242747</c:v>
                </c:pt>
                <c:pt idx="9">
                  <c:v>0.20611356988903959</c:v>
                </c:pt>
                <c:pt idx="10">
                  <c:v>0.53517207620312035</c:v>
                </c:pt>
                <c:pt idx="11">
                  <c:v>0.67890917099416115</c:v>
                </c:pt>
                <c:pt idx="12">
                  <c:v>0.76207780445815965</c:v>
                </c:pt>
                <c:pt idx="13">
                  <c:v>0.87055863071554884</c:v>
                </c:pt>
                <c:pt idx="14">
                  <c:v>0.95191925040859082</c:v>
                </c:pt>
                <c:pt idx="15">
                  <c:v>0.2109187194698309</c:v>
                </c:pt>
                <c:pt idx="16">
                  <c:v>0.31413426304017367</c:v>
                </c:pt>
                <c:pt idx="17">
                  <c:v>0.4137597007472002</c:v>
                </c:pt>
                <c:pt idx="18">
                  <c:v>0.50979503259091041</c:v>
                </c:pt>
                <c:pt idx="19">
                  <c:v>0.67314484937180075</c:v>
                </c:pt>
                <c:pt idx="20">
                  <c:v>0.80508123984867364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8384"/>
        <c:axId val="66049920"/>
      </c:scatterChart>
      <c:valAx>
        <c:axId val="660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049920"/>
        <c:crosses val="autoZero"/>
        <c:crossBetween val="midCat"/>
      </c:valAx>
      <c:valAx>
        <c:axId val="66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4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low_a_d!$W$1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low_a_d!$W$2:$W$57</c:f>
              <c:numCache>
                <c:formatCode>General</c:formatCode>
                <c:ptCount val="56"/>
                <c:pt idx="0">
                  <c:v>0.41806020066889632</c:v>
                </c:pt>
                <c:pt idx="1">
                  <c:v>0.83612040133779264</c:v>
                </c:pt>
                <c:pt idx="2">
                  <c:v>1</c:v>
                </c:pt>
                <c:pt idx="3">
                  <c:v>0.32258064516129031</c:v>
                </c:pt>
                <c:pt idx="4">
                  <c:v>0.64516129032258063</c:v>
                </c:pt>
                <c:pt idx="5">
                  <c:v>1</c:v>
                </c:pt>
                <c:pt idx="6">
                  <c:v>0.29197080291970801</c:v>
                </c:pt>
                <c:pt idx="7">
                  <c:v>0.54744525547445255</c:v>
                </c:pt>
                <c:pt idx="8">
                  <c:v>1</c:v>
                </c:pt>
                <c:pt idx="9">
                  <c:v>0.31674208144796379</c:v>
                </c:pt>
                <c:pt idx="10">
                  <c:v>0.45248868778280543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4400"/>
        <c:axId val="143769984"/>
      </c:scatterChart>
      <c:valAx>
        <c:axId val="1443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69984"/>
        <c:crosses val="autoZero"/>
        <c:crossBetween val="midCat"/>
      </c:valAx>
      <c:valAx>
        <c:axId val="1437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7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low_a_d!$V$1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low_a_d!$V$2:$V$57</c:f>
              <c:numCache>
                <c:formatCode>General</c:formatCode>
                <c:ptCount val="56"/>
                <c:pt idx="0">
                  <c:v>5.4926801727521619</c:v>
                </c:pt>
                <c:pt idx="1">
                  <c:v>10.985360345504324</c:v>
                </c:pt>
                <c:pt idx="2">
                  <c:v>13.13849097322317</c:v>
                </c:pt>
                <c:pt idx="3">
                  <c:v>3.149272595729415</c:v>
                </c:pt>
                <c:pt idx="4">
                  <c:v>6.29854519145883</c:v>
                </c:pt>
                <c:pt idx="5">
                  <c:v>9.7627450467611858</c:v>
                </c:pt>
                <c:pt idx="6">
                  <c:v>2.129936239383603</c:v>
                </c:pt>
                <c:pt idx="7">
                  <c:v>3.9936304488442556</c:v>
                </c:pt>
                <c:pt idx="8">
                  <c:v>7.2950316198888405</c:v>
                </c:pt>
                <c:pt idx="9">
                  <c:v>1.8636942094606526</c:v>
                </c:pt>
                <c:pt idx="10">
                  <c:v>2.6624202992295034</c:v>
                </c:pt>
                <c:pt idx="11">
                  <c:v>5.8839488612972035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7920"/>
        <c:axId val="143939456"/>
      </c:scatterChart>
      <c:valAx>
        <c:axId val="1439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39456"/>
        <c:crosses val="autoZero"/>
        <c:crossBetween val="midCat"/>
      </c:valAx>
      <c:valAx>
        <c:axId val="1439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3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low_a_d!$X$1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low_a_d!$X$2:$X$246</c:f>
              <c:numCache>
                <c:formatCode>General</c:formatCode>
                <c:ptCount val="245"/>
                <c:pt idx="0">
                  <c:v>0.1600760402743279</c:v>
                </c:pt>
                <c:pt idx="1">
                  <c:v>0.32015208054865579</c:v>
                </c:pt>
                <c:pt idx="2">
                  <c:v>0.38290188833619226</c:v>
                </c:pt>
                <c:pt idx="3">
                  <c:v>9.591573547133081E-2</c:v>
                </c:pt>
                <c:pt idx="4">
                  <c:v>0.19183147094266162</c:v>
                </c:pt>
                <c:pt idx="5">
                  <c:v>0.29733877996112551</c:v>
                </c:pt>
                <c:pt idx="6">
                  <c:v>5.1486596267615974E-2</c:v>
                </c:pt>
                <c:pt idx="7">
                  <c:v>9.653736800177995E-2</c:v>
                </c:pt>
                <c:pt idx="8">
                  <c:v>0.17634159221658471</c:v>
                </c:pt>
                <c:pt idx="9">
                  <c:v>4.5050771734163976E-2</c:v>
                </c:pt>
                <c:pt idx="10">
                  <c:v>6.4358245334519962E-2</c:v>
                </c:pt>
                <c:pt idx="11">
                  <c:v>0.14223172218928912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1360"/>
        <c:axId val="143952896"/>
      </c:scatterChart>
      <c:valAx>
        <c:axId val="1439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52896"/>
        <c:crosses val="autoZero"/>
        <c:crossBetween val="midCat"/>
      </c:valAx>
      <c:valAx>
        <c:axId val="1439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5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shearstrength!$D$1</c:f>
              <c:strCache>
                <c:ptCount val="1"/>
                <c:pt idx="0">
                  <c:v>V-aci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shearstrength!$C$2:$C$49</c:f>
              <c:numCache>
                <c:formatCode>General</c:formatCode>
                <c:ptCount val="48"/>
                <c:pt idx="1">
                  <c:v>799.80000000000007</c:v>
                </c:pt>
                <c:pt idx="2">
                  <c:v>416</c:v>
                </c:pt>
                <c:pt idx="3">
                  <c:v>282.96000000000004</c:v>
                </c:pt>
                <c:pt idx="4">
                  <c:v>960</c:v>
                </c:pt>
                <c:pt idx="5">
                  <c:v>727.74</c:v>
                </c:pt>
                <c:pt idx="6">
                  <c:v>387</c:v>
                </c:pt>
                <c:pt idx="7">
                  <c:v>324</c:v>
                </c:pt>
                <c:pt idx="8">
                  <c:v>312</c:v>
                </c:pt>
                <c:pt idx="9">
                  <c:v>424.5</c:v>
                </c:pt>
                <c:pt idx="10">
                  <c:v>1000</c:v>
                </c:pt>
                <c:pt idx="11">
                  <c:v>900</c:v>
                </c:pt>
                <c:pt idx="12">
                  <c:v>825</c:v>
                </c:pt>
                <c:pt idx="13">
                  <c:v>775</c:v>
                </c:pt>
                <c:pt idx="14">
                  <c:v>100</c:v>
                </c:pt>
                <c:pt idx="15">
                  <c:v>178</c:v>
                </c:pt>
                <c:pt idx="16">
                  <c:v>242</c:v>
                </c:pt>
                <c:pt idx="17">
                  <c:v>246</c:v>
                </c:pt>
                <c:pt idx="18">
                  <c:v>130</c:v>
                </c:pt>
                <c:pt idx="19">
                  <c:v>108</c:v>
                </c:pt>
                <c:pt idx="20">
                  <c:v>180</c:v>
                </c:pt>
                <c:pt idx="21">
                  <c:v>259</c:v>
                </c:pt>
                <c:pt idx="22">
                  <c:v>309</c:v>
                </c:pt>
                <c:pt idx="23">
                  <c:v>100</c:v>
                </c:pt>
                <c:pt idx="24">
                  <c:v>204</c:v>
                </c:pt>
                <c:pt idx="25">
                  <c:v>269</c:v>
                </c:pt>
                <c:pt idx="26">
                  <c:v>255</c:v>
                </c:pt>
                <c:pt idx="27">
                  <c:v>118</c:v>
                </c:pt>
                <c:pt idx="28">
                  <c:v>226</c:v>
                </c:pt>
                <c:pt idx="29">
                  <c:v>254</c:v>
                </c:pt>
                <c:pt idx="30">
                  <c:v>267</c:v>
                </c:pt>
                <c:pt idx="31">
                  <c:v>140</c:v>
                </c:pt>
                <c:pt idx="32">
                  <c:v>343</c:v>
                </c:pt>
                <c:pt idx="33">
                  <c:v>462</c:v>
                </c:pt>
                <c:pt idx="34">
                  <c:v>310</c:v>
                </c:pt>
                <c:pt idx="35">
                  <c:v>380</c:v>
                </c:pt>
                <c:pt idx="36">
                  <c:v>94</c:v>
                </c:pt>
                <c:pt idx="37">
                  <c:v>834</c:v>
                </c:pt>
                <c:pt idx="38">
                  <c:v>699</c:v>
                </c:pt>
                <c:pt idx="39">
                  <c:v>283.37599999999998</c:v>
                </c:pt>
                <c:pt idx="40">
                  <c:v>275.17</c:v>
                </c:pt>
                <c:pt idx="41">
                  <c:v>450.86400000000003</c:v>
                </c:pt>
                <c:pt idx="42">
                  <c:v>396.88000000000005</c:v>
                </c:pt>
                <c:pt idx="43">
                  <c:v>633.65</c:v>
                </c:pt>
                <c:pt idx="44">
                  <c:v>351.84</c:v>
                </c:pt>
                <c:pt idx="45">
                  <c:v>674</c:v>
                </c:pt>
                <c:pt idx="46">
                  <c:v>550</c:v>
                </c:pt>
                <c:pt idx="47">
                  <c:v>472</c:v>
                </c:pt>
              </c:numCache>
            </c:numRef>
          </c:xVal>
          <c:yVal>
            <c:numRef>
              <c:f>shearstrength!$D$2:$D$49</c:f>
              <c:numCache>
                <c:formatCode>General</c:formatCode>
                <c:ptCount val="48"/>
                <c:pt idx="1">
                  <c:v>620</c:v>
                </c:pt>
                <c:pt idx="2">
                  <c:v>320</c:v>
                </c:pt>
                <c:pt idx="3">
                  <c:v>216</c:v>
                </c:pt>
                <c:pt idx="4">
                  <c:v>800</c:v>
                </c:pt>
                <c:pt idx="5">
                  <c:v>622</c:v>
                </c:pt>
                <c:pt idx="6">
                  <c:v>297.69230769230768</c:v>
                </c:pt>
                <c:pt idx="7">
                  <c:v>239.99999999999997</c:v>
                </c:pt>
                <c:pt idx="8">
                  <c:v>240</c:v>
                </c:pt>
                <c:pt idx="9">
                  <c:v>365.94827586206901</c:v>
                </c:pt>
                <c:pt idx="10">
                  <c:v>751.87969924812023</c:v>
                </c:pt>
                <c:pt idx="11">
                  <c:v>750</c:v>
                </c:pt>
                <c:pt idx="12">
                  <c:v>896.73913043478262</c:v>
                </c:pt>
                <c:pt idx="13">
                  <c:v>880.68181818181813</c:v>
                </c:pt>
                <c:pt idx="14">
                  <c:v>86</c:v>
                </c:pt>
                <c:pt idx="15">
                  <c:v>125</c:v>
                </c:pt>
                <c:pt idx="16">
                  <c:v>175</c:v>
                </c:pt>
                <c:pt idx="17">
                  <c:v>179</c:v>
                </c:pt>
                <c:pt idx="18">
                  <c:v>86</c:v>
                </c:pt>
                <c:pt idx="19">
                  <c:v>95</c:v>
                </c:pt>
                <c:pt idx="20">
                  <c:v>145</c:v>
                </c:pt>
                <c:pt idx="21">
                  <c:v>180</c:v>
                </c:pt>
                <c:pt idx="22">
                  <c:v>184</c:v>
                </c:pt>
                <c:pt idx="23">
                  <c:v>99</c:v>
                </c:pt>
                <c:pt idx="24">
                  <c:v>150</c:v>
                </c:pt>
                <c:pt idx="25">
                  <c:v>185</c:v>
                </c:pt>
                <c:pt idx="26">
                  <c:v>189</c:v>
                </c:pt>
                <c:pt idx="27">
                  <c:v>118</c:v>
                </c:pt>
                <c:pt idx="28">
                  <c:v>149</c:v>
                </c:pt>
                <c:pt idx="29">
                  <c:v>175</c:v>
                </c:pt>
                <c:pt idx="30">
                  <c:v>179</c:v>
                </c:pt>
                <c:pt idx="31">
                  <c:v>118</c:v>
                </c:pt>
                <c:pt idx="32">
                  <c:v>424.3</c:v>
                </c:pt>
                <c:pt idx="33">
                  <c:v>424.3</c:v>
                </c:pt>
                <c:pt idx="34">
                  <c:v>413.9</c:v>
                </c:pt>
                <c:pt idx="35">
                  <c:v>413.9</c:v>
                </c:pt>
                <c:pt idx="36">
                  <c:v>105</c:v>
                </c:pt>
                <c:pt idx="37">
                  <c:v>1142</c:v>
                </c:pt>
                <c:pt idx="38">
                  <c:v>1177</c:v>
                </c:pt>
                <c:pt idx="39">
                  <c:v>318.39999999999998</c:v>
                </c:pt>
                <c:pt idx="40">
                  <c:v>393.1</c:v>
                </c:pt>
                <c:pt idx="41">
                  <c:v>484.8</c:v>
                </c:pt>
                <c:pt idx="42">
                  <c:v>496.1</c:v>
                </c:pt>
                <c:pt idx="43">
                  <c:v>667</c:v>
                </c:pt>
                <c:pt idx="44">
                  <c:v>733</c:v>
                </c:pt>
                <c:pt idx="45">
                  <c:v>772</c:v>
                </c:pt>
                <c:pt idx="46">
                  <c:v>764</c:v>
                </c:pt>
                <c:pt idx="47">
                  <c:v>776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shearstrength!$F$2:$F$3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xVal>
          <c:yVal>
            <c:numRef>
              <c:f>shearstrength!$G$2:$G$3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4656"/>
        <c:axId val="144776192"/>
      </c:scatterChart>
      <c:valAx>
        <c:axId val="1447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76192"/>
        <c:crosses val="autoZero"/>
        <c:crossBetween val="midCat"/>
      </c:valAx>
      <c:valAx>
        <c:axId val="144776192"/>
        <c:scaling>
          <c:orientation val="minMax"/>
          <c:max val="1200"/>
        </c:scaling>
        <c:delete val="0"/>
        <c:axPos val="l"/>
        <c:numFmt formatCode="General" sourceLinked="1"/>
        <c:majorTickMark val="out"/>
        <c:minorTickMark val="none"/>
        <c:tickLblPos val="nextTo"/>
        <c:crossAx val="14477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'120Cracks'!$V$1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'120Cracks'!$V$2:$V$57</c:f>
              <c:numCache>
                <c:formatCode>General</c:formatCode>
                <c:ptCount val="56"/>
                <c:pt idx="0">
                  <c:v>0.1511381510983556</c:v>
                </c:pt>
                <c:pt idx="1">
                  <c:v>0.40411270347153905</c:v>
                </c:pt>
                <c:pt idx="2">
                  <c:v>0.64658032555446243</c:v>
                </c:pt>
                <c:pt idx="3">
                  <c:v>0.88904794763738582</c:v>
                </c:pt>
                <c:pt idx="4">
                  <c:v>1.1315155697203092</c:v>
                </c:pt>
                <c:pt idx="5">
                  <c:v>1.2527493807617709</c:v>
                </c:pt>
                <c:pt idx="6">
                  <c:v>0.41621638364499725</c:v>
                </c:pt>
                <c:pt idx="7">
                  <c:v>0.66594621383199559</c:v>
                </c:pt>
                <c:pt idx="8">
                  <c:v>0.91567604401899394</c:v>
                </c:pt>
                <c:pt idx="9">
                  <c:v>1.1654058742059923</c:v>
                </c:pt>
                <c:pt idx="10">
                  <c:v>1.2902707892994916</c:v>
                </c:pt>
                <c:pt idx="11">
                  <c:v>1.373514066028491</c:v>
                </c:pt>
                <c:pt idx="12">
                  <c:v>0.42681332080570716</c:v>
                </c:pt>
                <c:pt idx="13">
                  <c:v>0.68290131328913151</c:v>
                </c:pt>
                <c:pt idx="14">
                  <c:v>1.1950772982559801</c:v>
                </c:pt>
                <c:pt idx="15">
                  <c:v>1.3231212944976922</c:v>
                </c:pt>
                <c:pt idx="16">
                  <c:v>1.3956795590346625</c:v>
                </c:pt>
                <c:pt idx="17">
                  <c:v>1.4511652907394044</c:v>
                </c:pt>
                <c:pt idx="18">
                  <c:v>1.5365279549005457</c:v>
                </c:pt>
                <c:pt idx="19">
                  <c:v>0.16799525077419408</c:v>
                </c:pt>
                <c:pt idx="20">
                  <c:v>0.67198100309677633</c:v>
                </c:pt>
                <c:pt idx="21">
                  <c:v>1.1759667554193587</c:v>
                </c:pt>
                <c:pt idx="22">
                  <c:v>1.3019631935000042</c:v>
                </c:pt>
                <c:pt idx="23">
                  <c:v>1.3750411275867789</c:v>
                </c:pt>
                <c:pt idx="24">
                  <c:v>1.4279596315806498</c:v>
                </c:pt>
                <c:pt idx="25">
                  <c:v>1.5119572569677469</c:v>
                </c:pt>
                <c:pt idx="26">
                  <c:v>1.595954882354844</c:v>
                </c:pt>
                <c:pt idx="27">
                  <c:v>1.6799525077419408</c:v>
                </c:pt>
                <c:pt idx="28">
                  <c:v>0.22865806911131434</c:v>
                </c:pt>
                <c:pt idx="29">
                  <c:v>0.45502955753151558</c:v>
                </c:pt>
                <c:pt idx="30">
                  <c:v>0.68368762664282989</c:v>
                </c:pt>
                <c:pt idx="31">
                  <c:v>0.91463227644525735</c:v>
                </c:pt>
                <c:pt idx="32">
                  <c:v>1.1890219593788345</c:v>
                </c:pt>
                <c:pt idx="33">
                  <c:v>1.2576193801122288</c:v>
                </c:pt>
                <c:pt idx="34">
                  <c:v>1.4268263512546016</c:v>
                </c:pt>
                <c:pt idx="35">
                  <c:v>1.6006064837792005</c:v>
                </c:pt>
                <c:pt idx="36">
                  <c:v>1.7721000356126861</c:v>
                </c:pt>
                <c:pt idx="37">
                  <c:v>1.9413070067550589</c:v>
                </c:pt>
                <c:pt idx="38">
                  <c:v>0.23567771193228415</c:v>
                </c:pt>
                <c:pt idx="39">
                  <c:v>0.47366598966782592</c:v>
                </c:pt>
                <c:pt idx="40">
                  <c:v>0.69316974097730621</c:v>
                </c:pt>
                <c:pt idx="41">
                  <c:v>0.92191575549981741</c:v>
                </c:pt>
                <c:pt idx="42">
                  <c:v>1.1529723358255861</c:v>
                </c:pt>
                <c:pt idx="43">
                  <c:v>1.2731217575949858</c:v>
                </c:pt>
                <c:pt idx="44">
                  <c:v>1.4417930612327972</c:v>
                </c:pt>
                <c:pt idx="45">
                  <c:v>0.23977768621665024</c:v>
                </c:pt>
                <c:pt idx="46">
                  <c:v>0.46111093503201966</c:v>
                </c:pt>
                <c:pt idx="47">
                  <c:v>0.68936084787286944</c:v>
                </c:pt>
                <c:pt idx="48">
                  <c:v>0.92452742473919947</c:v>
                </c:pt>
                <c:pt idx="49">
                  <c:v>1.1527773375800492</c:v>
                </c:pt>
                <c:pt idx="50">
                  <c:v>1.2680550713380541</c:v>
                </c:pt>
                <c:pt idx="51">
                  <c:v>1.4409716719750616</c:v>
                </c:pt>
                <c:pt idx="52">
                  <c:v>1.6115827179369089</c:v>
                </c:pt>
                <c:pt idx="53">
                  <c:v>1.7868048732490762</c:v>
                </c:pt>
                <c:pt idx="54">
                  <c:v>1.9551103645357637</c:v>
                </c:pt>
                <c:pt idx="55">
                  <c:v>0.233528245750457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9120"/>
        <c:axId val="153910656"/>
      </c:scatterChart>
      <c:valAx>
        <c:axId val="1539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10656"/>
        <c:crosses val="autoZero"/>
        <c:crossBetween val="midCat"/>
      </c:valAx>
      <c:valAx>
        <c:axId val="1539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0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1780183727034134E-2"/>
          <c:y val="0.17628499562554681"/>
          <c:w val="0.86931714785651792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'120Cracks'!$X$1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'120Cracks'!$X$2:$X$98</c:f>
              <c:numCache>
                <c:formatCode>General</c:formatCode>
                <c:ptCount val="97"/>
                <c:pt idx="0">
                  <c:v>0.10118388872421402</c:v>
                </c:pt>
                <c:pt idx="1">
                  <c:v>0.27054515701661502</c:v>
                </c:pt>
                <c:pt idx="2">
                  <c:v>0.43287225122658407</c:v>
                </c:pt>
                <c:pt idx="3">
                  <c:v>0.59519934543655306</c:v>
                </c:pt>
                <c:pt idx="4">
                  <c:v>0.75752643964652211</c:v>
                </c:pt>
                <c:pt idx="5">
                  <c:v>0.83868998675150663</c:v>
                </c:pt>
                <c:pt idx="6">
                  <c:v>0.27556640209481686</c:v>
                </c:pt>
                <c:pt idx="7">
                  <c:v>0.44090624335170697</c:v>
                </c:pt>
                <c:pt idx="8">
                  <c:v>0.60624608460859708</c:v>
                </c:pt>
                <c:pt idx="9">
                  <c:v>0.77158592586548713</c:v>
                </c:pt>
                <c:pt idx="10">
                  <c:v>0.85425584649393227</c:v>
                </c:pt>
                <c:pt idx="11">
                  <c:v>0.90936912691289562</c:v>
                </c:pt>
                <c:pt idx="12">
                  <c:v>0.31329105192125462</c:v>
                </c:pt>
                <c:pt idx="13">
                  <c:v>0.50126568307400732</c:v>
                </c:pt>
                <c:pt idx="14">
                  <c:v>0.87721494537951283</c:v>
                </c:pt>
                <c:pt idx="15">
                  <c:v>0.97120226095588924</c:v>
                </c:pt>
                <c:pt idx="16">
                  <c:v>1.0244617397825024</c:v>
                </c:pt>
                <c:pt idx="17">
                  <c:v>1.0651895765322656</c:v>
                </c:pt>
                <c:pt idx="18">
                  <c:v>1.1278477869165167</c:v>
                </c:pt>
                <c:pt idx="19">
                  <c:v>0.12377553158223899</c:v>
                </c:pt>
                <c:pt idx="20">
                  <c:v>0.49510212632895595</c:v>
                </c:pt>
                <c:pt idx="21">
                  <c:v>0.86642872107567293</c:v>
                </c:pt>
                <c:pt idx="22">
                  <c:v>0.95926036976235218</c:v>
                </c:pt>
                <c:pt idx="23">
                  <c:v>1.0131027260006262</c:v>
                </c:pt>
                <c:pt idx="24">
                  <c:v>1.0520920184490314</c:v>
                </c:pt>
                <c:pt idx="25">
                  <c:v>1.1139797842401509</c:v>
                </c:pt>
                <c:pt idx="26">
                  <c:v>1.1758675500312703</c:v>
                </c:pt>
                <c:pt idx="27">
                  <c:v>1.2377553158223897</c:v>
                </c:pt>
                <c:pt idx="28">
                  <c:v>0.15553569468436068</c:v>
                </c:pt>
                <c:pt idx="29">
                  <c:v>0.30951603242187781</c:v>
                </c:pt>
                <c:pt idx="30">
                  <c:v>0.46505172710623843</c:v>
                </c:pt>
                <c:pt idx="31">
                  <c:v>0.62214277873744273</c:v>
                </c:pt>
                <c:pt idx="32">
                  <c:v>0.80878561235867552</c:v>
                </c:pt>
                <c:pt idx="33">
                  <c:v>0.85544632076398375</c:v>
                </c:pt>
                <c:pt idx="34">
                  <c:v>0.97054273483041076</c:v>
                </c:pt>
                <c:pt idx="35">
                  <c:v>1.0887498627905248</c:v>
                </c:pt>
                <c:pt idx="36">
                  <c:v>1.2054016338037954</c:v>
                </c:pt>
                <c:pt idx="37">
                  <c:v>1.3204980478702222</c:v>
                </c:pt>
                <c:pt idx="38">
                  <c:v>0.16071682027273967</c:v>
                </c:pt>
                <c:pt idx="39">
                  <c:v>0.32300929564619246</c:v>
                </c:pt>
                <c:pt idx="40">
                  <c:v>0.47269653021394015</c:v>
                </c:pt>
                <c:pt idx="41">
                  <c:v>0.62868638518454045</c:v>
                </c:pt>
                <c:pt idx="42">
                  <c:v>0.78625189525585393</c:v>
                </c:pt>
                <c:pt idx="43">
                  <c:v>0.86818596049293684</c:v>
                </c:pt>
                <c:pt idx="44">
                  <c:v>0.98320878284499569</c:v>
                </c:pt>
                <c:pt idx="45">
                  <c:v>0.15637889855303452</c:v>
                </c:pt>
                <c:pt idx="46">
                  <c:v>0.30072865106352792</c:v>
                </c:pt>
                <c:pt idx="47">
                  <c:v>0.4495893333399742</c:v>
                </c:pt>
                <c:pt idx="48">
                  <c:v>0.60296094538237344</c:v>
                </c:pt>
                <c:pt idx="49">
                  <c:v>0.75182162765881977</c:v>
                </c:pt>
                <c:pt idx="50">
                  <c:v>0.82700379042470173</c:v>
                </c:pt>
                <c:pt idx="51">
                  <c:v>0.93977703457352468</c:v>
                </c:pt>
                <c:pt idx="52">
                  <c:v>1.05104663546703</c:v>
                </c:pt>
                <c:pt idx="53">
                  <c:v>1.1653235228711707</c:v>
                </c:pt>
                <c:pt idx="54">
                  <c:v>1.2750894805093584</c:v>
                </c:pt>
                <c:pt idx="55">
                  <c:v>0.15676783724040924</c:v>
                </c:pt>
                <c:pt idx="56">
                  <c:v>0.31196799610841441</c:v>
                </c:pt>
                <c:pt idx="57">
                  <c:v>0.46873583334882363</c:v>
                </c:pt>
                <c:pt idx="58">
                  <c:v>0.62550367058923295</c:v>
                </c:pt>
                <c:pt idx="59">
                  <c:v>0.78383918620204618</c:v>
                </c:pt>
                <c:pt idx="60">
                  <c:v>0.86065542644984683</c:v>
                </c:pt>
                <c:pt idx="61">
                  <c:v>0.97823130438015382</c:v>
                </c:pt>
                <c:pt idx="62">
                  <c:v>1.0973748606828648</c:v>
                </c:pt>
                <c:pt idx="63">
                  <c:v>1.2133830602407676</c:v>
                </c:pt>
                <c:pt idx="64">
                  <c:v>0.16100341215624392</c:v>
                </c:pt>
                <c:pt idx="65">
                  <c:v>0.32200682431248784</c:v>
                </c:pt>
                <c:pt idx="66">
                  <c:v>0.48140020234716929</c:v>
                </c:pt>
                <c:pt idx="67">
                  <c:v>0.64562368274653814</c:v>
                </c:pt>
                <c:pt idx="68">
                  <c:v>0.8050170607812196</c:v>
                </c:pt>
                <c:pt idx="69">
                  <c:v>0.88712880098090396</c:v>
                </c:pt>
                <c:pt idx="70">
                  <c:v>1.004661291854962</c:v>
                </c:pt>
                <c:pt idx="71">
                  <c:v>1.125413850972145</c:v>
                </c:pt>
                <c:pt idx="72">
                  <c:v>0.10392287153013445</c:v>
                </c:pt>
                <c:pt idx="73">
                  <c:v>0.30565550450039541</c:v>
                </c:pt>
                <c:pt idx="74">
                  <c:v>0.46153981179559711</c:v>
                </c:pt>
                <c:pt idx="75">
                  <c:v>0.57616062598324536</c:v>
                </c:pt>
                <c:pt idx="76">
                  <c:v>0.64951794706334021</c:v>
                </c:pt>
                <c:pt idx="77">
                  <c:v>0.80387397683604001</c:v>
                </c:pt>
                <c:pt idx="78">
                  <c:v>0.9200230685461902</c:v>
                </c:pt>
                <c:pt idx="79">
                  <c:v>1.0346438827338384</c:v>
                </c:pt>
                <c:pt idx="80">
                  <c:v>0.1421254398217642</c:v>
                </c:pt>
                <c:pt idx="81">
                  <c:v>0.34803400385622257</c:v>
                </c:pt>
                <c:pt idx="82">
                  <c:v>0.52066441612753622</c:v>
                </c:pt>
                <c:pt idx="83">
                  <c:v>0.69398812322724868</c:v>
                </c:pt>
                <c:pt idx="84">
                  <c:v>0.74043887672997155</c:v>
                </c:pt>
                <c:pt idx="85">
                  <c:v>0.8659252406701633</c:v>
                </c:pt>
                <c:pt idx="86">
                  <c:v>0.9719993494151874</c:v>
                </c:pt>
                <c:pt idx="87">
                  <c:v>1.0739136891898182</c:v>
                </c:pt>
                <c:pt idx="88">
                  <c:v>0.12727621563722716</c:v>
                </c:pt>
                <c:pt idx="89">
                  <c:v>0.31597428658197191</c:v>
                </c:pt>
                <c:pt idx="90">
                  <c:v>0.47427803737454299</c:v>
                </c:pt>
                <c:pt idx="91">
                  <c:v>0.63321500317028434</c:v>
                </c:pt>
                <c:pt idx="92">
                  <c:v>0.69843614849682367</c:v>
                </c:pt>
                <c:pt idx="93">
                  <c:v>0.78961910895334464</c:v>
                </c:pt>
                <c:pt idx="94">
                  <c:v>0.88586778943522781</c:v>
                </c:pt>
                <c:pt idx="95">
                  <c:v>0.98085003991077047</c:v>
                </c:pt>
                <c:pt idx="96">
                  <c:v>1.0745658603799726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3040"/>
        <c:axId val="155284224"/>
      </c:scatterChart>
      <c:valAx>
        <c:axId val="1539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84224"/>
        <c:crosses val="autoZero"/>
        <c:crossBetween val="midCat"/>
      </c:valAx>
      <c:valAx>
        <c:axId val="1552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4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'95Cracks'!$W$1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'95Cracks'!$W$2:$W$57</c:f>
              <c:numCache>
                <c:formatCode>General</c:formatCode>
                <c:ptCount val="56"/>
                <c:pt idx="0">
                  <c:v>0.22471910112359553</c:v>
                </c:pt>
                <c:pt idx="1">
                  <c:v>0.33707865168539325</c:v>
                </c:pt>
                <c:pt idx="2">
                  <c:v>0.47752808988764045</c:v>
                </c:pt>
                <c:pt idx="3">
                  <c:v>0.6179775280898876</c:v>
                </c:pt>
                <c:pt idx="4">
                  <c:v>0.73033707865168529</c:v>
                </c:pt>
                <c:pt idx="5">
                  <c:v>1</c:v>
                </c:pt>
                <c:pt idx="6">
                  <c:v>0.14462809917355371</c:v>
                </c:pt>
                <c:pt idx="7">
                  <c:v>0.17355371900826447</c:v>
                </c:pt>
                <c:pt idx="8">
                  <c:v>0.24793388429752067</c:v>
                </c:pt>
                <c:pt idx="9">
                  <c:v>0.3512396694214876</c:v>
                </c:pt>
                <c:pt idx="10">
                  <c:v>0.45454545454545453</c:v>
                </c:pt>
                <c:pt idx="11">
                  <c:v>0.53719008264462809</c:v>
                </c:pt>
                <c:pt idx="12">
                  <c:v>0.6198347107438017</c:v>
                </c:pt>
                <c:pt idx="13">
                  <c:v>1</c:v>
                </c:pt>
                <c:pt idx="14">
                  <c:v>0.14227642276422764</c:v>
                </c:pt>
                <c:pt idx="15">
                  <c:v>0.17073170731707318</c:v>
                </c:pt>
                <c:pt idx="16">
                  <c:v>0.24390243902439024</c:v>
                </c:pt>
                <c:pt idx="17">
                  <c:v>0.34552845528455284</c:v>
                </c:pt>
                <c:pt idx="18">
                  <c:v>0.44715447154471544</c:v>
                </c:pt>
                <c:pt idx="19">
                  <c:v>0.52845528455284552</c:v>
                </c:pt>
                <c:pt idx="20">
                  <c:v>0.6097560975609756</c:v>
                </c:pt>
                <c:pt idx="21">
                  <c:v>0.79268292682926822</c:v>
                </c:pt>
                <c:pt idx="22">
                  <c:v>1</c:v>
                </c:pt>
                <c:pt idx="23">
                  <c:v>0.27777777777777773</c:v>
                </c:pt>
                <c:pt idx="24">
                  <c:v>0.46666666666666667</c:v>
                </c:pt>
                <c:pt idx="25">
                  <c:v>0.52777777777777779</c:v>
                </c:pt>
                <c:pt idx="26">
                  <c:v>0.65</c:v>
                </c:pt>
                <c:pt idx="27">
                  <c:v>0.77777777777777779</c:v>
                </c:pt>
                <c:pt idx="28">
                  <c:v>0.89999999999999991</c:v>
                </c:pt>
                <c:pt idx="29">
                  <c:v>1</c:v>
                </c:pt>
                <c:pt idx="30">
                  <c:v>0.19379844961240314</c:v>
                </c:pt>
                <c:pt idx="31">
                  <c:v>0.31007751937984501</c:v>
                </c:pt>
                <c:pt idx="32">
                  <c:v>0.36821705426356593</c:v>
                </c:pt>
                <c:pt idx="33">
                  <c:v>0.45348837209302328</c:v>
                </c:pt>
                <c:pt idx="34">
                  <c:v>0.50387596899224807</c:v>
                </c:pt>
                <c:pt idx="35">
                  <c:v>0.63953488372093026</c:v>
                </c:pt>
                <c:pt idx="36">
                  <c:v>1</c:v>
                </c:pt>
                <c:pt idx="37">
                  <c:v>0.32843137254901961</c:v>
                </c:pt>
                <c:pt idx="38">
                  <c:v>0.41666666666666669</c:v>
                </c:pt>
                <c:pt idx="39">
                  <c:v>0.46568627450980393</c:v>
                </c:pt>
                <c:pt idx="40">
                  <c:v>0.57352941176470595</c:v>
                </c:pt>
                <c:pt idx="41">
                  <c:v>0.68627450980392157</c:v>
                </c:pt>
                <c:pt idx="42">
                  <c:v>0.81862745098039214</c:v>
                </c:pt>
                <c:pt idx="43">
                  <c:v>1</c:v>
                </c:pt>
                <c:pt idx="44">
                  <c:v>0.21561338289962828</c:v>
                </c:pt>
                <c:pt idx="45">
                  <c:v>0.308550185873606</c:v>
                </c:pt>
                <c:pt idx="46">
                  <c:v>0.35315985130111527</c:v>
                </c:pt>
                <c:pt idx="47">
                  <c:v>0.43494423791821563</c:v>
                </c:pt>
                <c:pt idx="48">
                  <c:v>0.5204460966542751</c:v>
                </c:pt>
                <c:pt idx="49">
                  <c:v>0.620817843866171</c:v>
                </c:pt>
                <c:pt idx="50">
                  <c:v>1</c:v>
                </c:pt>
                <c:pt idx="51">
                  <c:v>0.19592476489028215</c:v>
                </c:pt>
                <c:pt idx="52">
                  <c:v>0.32523510971786834</c:v>
                </c:pt>
                <c:pt idx="53">
                  <c:v>0.37225705329153602</c:v>
                </c:pt>
                <c:pt idx="54">
                  <c:v>0.45846394984326017</c:v>
                </c:pt>
                <c:pt idx="55">
                  <c:v>0.54858934169278994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6608"/>
        <c:axId val="156967296"/>
      </c:scatterChart>
      <c:valAx>
        <c:axId val="1567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67296"/>
        <c:crosses val="autoZero"/>
        <c:crossBetween val="midCat"/>
      </c:valAx>
      <c:valAx>
        <c:axId val="1569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'95Cracks'!$V$1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'95Cracks'!$V$2:$V$57</c:f>
              <c:numCache>
                <c:formatCode>General</c:formatCode>
                <c:ptCount val="56"/>
                <c:pt idx="0">
                  <c:v>0.48294687241508921</c:v>
                </c:pt>
                <c:pt idx="1">
                  <c:v>0.72442030862263385</c:v>
                </c:pt>
                <c:pt idx="2">
                  <c:v>1.0262621038820645</c:v>
                </c:pt>
                <c:pt idx="3">
                  <c:v>1.3281038991414953</c:v>
                </c:pt>
                <c:pt idx="4">
                  <c:v>1.5695773353490399</c:v>
                </c:pt>
                <c:pt idx="5">
                  <c:v>2.1491135822471472</c:v>
                </c:pt>
                <c:pt idx="6">
                  <c:v>0.4249863681402013</c:v>
                </c:pt>
                <c:pt idx="7">
                  <c:v>0.50998364176824162</c:v>
                </c:pt>
                <c:pt idx="8">
                  <c:v>0.72854805966891656</c:v>
                </c:pt>
                <c:pt idx="9">
                  <c:v>1.0321097511976318</c:v>
                </c:pt>
                <c:pt idx="10">
                  <c:v>1.335671442726347</c:v>
                </c:pt>
                <c:pt idx="11">
                  <c:v>1.578520795949319</c:v>
                </c:pt>
                <c:pt idx="12">
                  <c:v>1.8213701491722913</c:v>
                </c:pt>
                <c:pt idx="13">
                  <c:v>2.9384771739979638</c:v>
                </c:pt>
                <c:pt idx="14">
                  <c:v>0.4249863681402013</c:v>
                </c:pt>
                <c:pt idx="15">
                  <c:v>0.50998364176824162</c:v>
                </c:pt>
                <c:pt idx="16">
                  <c:v>0.72854805966891656</c:v>
                </c:pt>
                <c:pt idx="17">
                  <c:v>1.0321097511976318</c:v>
                </c:pt>
                <c:pt idx="18">
                  <c:v>1.335671442726347</c:v>
                </c:pt>
                <c:pt idx="19">
                  <c:v>1.578520795949319</c:v>
                </c:pt>
                <c:pt idx="20">
                  <c:v>1.8213701491722913</c:v>
                </c:pt>
                <c:pt idx="21">
                  <c:v>2.3677811939239786</c:v>
                </c:pt>
                <c:pt idx="22">
                  <c:v>2.9870470446425581</c:v>
                </c:pt>
                <c:pt idx="23">
                  <c:v>0.54689991274595251</c:v>
                </c:pt>
                <c:pt idx="24">
                  <c:v>0.91879185341320024</c:v>
                </c:pt>
                <c:pt idx="25">
                  <c:v>1.0391098342173097</c:v>
                </c:pt>
                <c:pt idx="26">
                  <c:v>1.2797457958255289</c:v>
                </c:pt>
                <c:pt idx="27">
                  <c:v>1.5313197556886671</c:v>
                </c:pt>
                <c:pt idx="28">
                  <c:v>1.7719557172968861</c:v>
                </c:pt>
                <c:pt idx="29">
                  <c:v>1.9688396858854291</c:v>
                </c:pt>
                <c:pt idx="30">
                  <c:v>0.55001615156501782</c:v>
                </c:pt>
                <c:pt idx="31">
                  <c:v>0.88002584250402838</c:v>
                </c:pt>
                <c:pt idx="32">
                  <c:v>1.0450306879735338</c:v>
                </c:pt>
                <c:pt idx="33">
                  <c:v>1.2870377946621416</c:v>
                </c:pt>
                <c:pt idx="34">
                  <c:v>1.4300419940690461</c:v>
                </c:pt>
                <c:pt idx="35">
                  <c:v>1.8150533001645586</c:v>
                </c:pt>
                <c:pt idx="36">
                  <c:v>2.8380833420754916</c:v>
                </c:pt>
                <c:pt idx="37">
                  <c:v>0.68842214336956375</c:v>
                </c:pt>
                <c:pt idx="38">
                  <c:v>0.87337137591661063</c:v>
                </c:pt>
                <c:pt idx="39">
                  <c:v>0.97612094955385897</c:v>
                </c:pt>
                <c:pt idx="40">
                  <c:v>1.2021700115558054</c:v>
                </c:pt>
                <c:pt idx="41">
                  <c:v>1.4384940309214764</c:v>
                </c:pt>
                <c:pt idx="42">
                  <c:v>1.7159178797420467</c:v>
                </c:pt>
                <c:pt idx="43">
                  <c:v>2.0960913021998659</c:v>
                </c:pt>
                <c:pt idx="44">
                  <c:v>0.59934323950114587</c:v>
                </c:pt>
                <c:pt idx="45">
                  <c:v>0.85768084273439837</c:v>
                </c:pt>
                <c:pt idx="46">
                  <c:v>0.98168289228635952</c:v>
                </c:pt>
                <c:pt idx="47">
                  <c:v>1.209019983131622</c:v>
                </c:pt>
                <c:pt idx="48">
                  <c:v>1.446690578106214</c:v>
                </c:pt>
                <c:pt idx="49">
                  <c:v>1.7256951895981267</c:v>
                </c:pt>
                <c:pt idx="50">
                  <c:v>2.7797126107897974</c:v>
                </c:pt>
                <c:pt idx="51">
                  <c:v>0.516675206466505</c:v>
                </c:pt>
                <c:pt idx="52">
                  <c:v>0.85768084273439837</c:v>
                </c:pt>
                <c:pt idx="53">
                  <c:v>0.98168289228635952</c:v>
                </c:pt>
                <c:pt idx="54">
                  <c:v>1.209019983131622</c:v>
                </c:pt>
                <c:pt idx="55">
                  <c:v>1.446690578106214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41024"/>
        <c:axId val="157042560"/>
      </c:scatterChart>
      <c:valAx>
        <c:axId val="157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42560"/>
        <c:crosses val="autoZero"/>
        <c:crossBetween val="midCat"/>
      </c:valAx>
      <c:valAx>
        <c:axId val="1570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'95Cracks'!$X$1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'95Cracks'!$X$2:$X$246</c:f>
              <c:numCache>
                <c:formatCode>General</c:formatCode>
                <c:ptCount val="245"/>
                <c:pt idx="0">
                  <c:v>0.32372662354978288</c:v>
                </c:pt>
                <c:pt idx="1">
                  <c:v>0.48558993532467426</c:v>
                </c:pt>
                <c:pt idx="2">
                  <c:v>0.68791907504328853</c:v>
                </c:pt>
                <c:pt idx="3">
                  <c:v>0.89024821476190286</c:v>
                </c:pt>
                <c:pt idx="4">
                  <c:v>1.0521115265367942</c:v>
                </c:pt>
                <c:pt idx="5">
                  <c:v>1.4405834747965338</c:v>
                </c:pt>
                <c:pt idx="6">
                  <c:v>0.2024132485583055</c:v>
                </c:pt>
                <c:pt idx="7">
                  <c:v>0.2428958982699666</c:v>
                </c:pt>
                <c:pt idx="8">
                  <c:v>0.34699414038566656</c:v>
                </c:pt>
                <c:pt idx="9">
                  <c:v>0.49157503221302762</c:v>
                </c:pt>
                <c:pt idx="10">
                  <c:v>0.63615592404038868</c:v>
                </c:pt>
                <c:pt idx="11">
                  <c:v>0.75182063750227757</c:v>
                </c:pt>
                <c:pt idx="12">
                  <c:v>0.86748535096416635</c:v>
                </c:pt>
                <c:pt idx="13">
                  <c:v>1.3995430328888552</c:v>
                </c:pt>
                <c:pt idx="14">
                  <c:v>0.2024132485583055</c:v>
                </c:pt>
                <c:pt idx="15">
                  <c:v>0.2428958982699666</c:v>
                </c:pt>
                <c:pt idx="16">
                  <c:v>0.34699414038566656</c:v>
                </c:pt>
                <c:pt idx="17">
                  <c:v>0.49157503221302762</c:v>
                </c:pt>
                <c:pt idx="18">
                  <c:v>0.63615592404038868</c:v>
                </c:pt>
                <c:pt idx="19">
                  <c:v>0.75182063750227757</c:v>
                </c:pt>
                <c:pt idx="20">
                  <c:v>0.86748535096416635</c:v>
                </c:pt>
                <c:pt idx="21">
                  <c:v>1.1277309562534164</c:v>
                </c:pt>
                <c:pt idx="22">
                  <c:v>1.422675975581233</c:v>
                </c:pt>
                <c:pt idx="23">
                  <c:v>0.34683057676604351</c:v>
                </c:pt>
                <c:pt idx="24">
                  <c:v>0.58267536896695316</c:v>
                </c:pt>
                <c:pt idx="25">
                  <c:v>0.65897809585548273</c:v>
                </c:pt>
                <c:pt idx="26">
                  <c:v>0.81158354963254187</c:v>
                </c:pt>
                <c:pt idx="27">
                  <c:v>0.97112561494492189</c:v>
                </c:pt>
                <c:pt idx="28">
                  <c:v>1.123731068721981</c:v>
                </c:pt>
                <c:pt idx="29">
                  <c:v>1.2485900763577567</c:v>
                </c:pt>
                <c:pt idx="30">
                  <c:v>0.27800972854213846</c:v>
                </c:pt>
                <c:pt idx="31">
                  <c:v>0.44481556566742148</c:v>
                </c:pt>
                <c:pt idx="32">
                  <c:v>0.52821848423006301</c:v>
                </c:pt>
                <c:pt idx="33">
                  <c:v>0.65054276478860396</c:v>
                </c:pt>
                <c:pt idx="34">
                  <c:v>0.72282529420955999</c:v>
                </c:pt>
                <c:pt idx="35">
                  <c:v>0.91743210418905685</c:v>
                </c:pt>
                <c:pt idx="36">
                  <c:v>1.4345301992774344</c:v>
                </c:pt>
                <c:pt idx="37">
                  <c:v>0.44648151131751396</c:v>
                </c:pt>
                <c:pt idx="38">
                  <c:v>0.56643176808938334</c:v>
                </c:pt>
                <c:pt idx="39">
                  <c:v>0.63307079962931079</c:v>
                </c:pt>
                <c:pt idx="40">
                  <c:v>0.77967666901715127</c:v>
                </c:pt>
                <c:pt idx="41">
                  <c:v>0.93294644155898432</c:v>
                </c:pt>
                <c:pt idx="42">
                  <c:v>1.1128718267167885</c:v>
                </c:pt>
                <c:pt idx="43">
                  <c:v>1.3594362434145202</c:v>
                </c:pt>
                <c:pt idx="44">
                  <c:v>0.3123048195358118</c:v>
                </c:pt>
                <c:pt idx="45">
                  <c:v>0.44691896588745483</c:v>
                </c:pt>
                <c:pt idx="46">
                  <c:v>0.51153375613624341</c:v>
                </c:pt>
                <c:pt idx="47">
                  <c:v>0.62999420492568936</c:v>
                </c:pt>
                <c:pt idx="48">
                  <c:v>0.75383921956920086</c:v>
                </c:pt>
                <c:pt idx="49">
                  <c:v>0.89922249762897521</c:v>
                </c:pt>
                <c:pt idx="50">
                  <c:v>1.4484482147436788</c:v>
                </c:pt>
                <c:pt idx="51">
                  <c:v>0.26922829270328602</c:v>
                </c:pt>
                <c:pt idx="52">
                  <c:v>0.44691896588745483</c:v>
                </c:pt>
                <c:pt idx="53">
                  <c:v>0.51153375613624341</c:v>
                </c:pt>
                <c:pt idx="54">
                  <c:v>0.62999420492568936</c:v>
                </c:pt>
                <c:pt idx="55">
                  <c:v>0.75383921956920086</c:v>
                </c:pt>
                <c:pt idx="56">
                  <c:v>0.89922249762897521</c:v>
                </c:pt>
                <c:pt idx="57">
                  <c:v>1.3741412059575717</c:v>
                </c:pt>
                <c:pt idx="58">
                  <c:v>0.23077833917888799</c:v>
                </c:pt>
                <c:pt idx="59">
                  <c:v>0.34616750876833197</c:v>
                </c:pt>
                <c:pt idx="60">
                  <c:v>0.49040397075513698</c:v>
                </c:pt>
                <c:pt idx="61">
                  <c:v>0.63464043274194193</c:v>
                </c:pt>
                <c:pt idx="62">
                  <c:v>0.75002960233138594</c:v>
                </c:pt>
                <c:pt idx="63">
                  <c:v>0.80772418712610794</c:v>
                </c:pt>
                <c:pt idx="64">
                  <c:v>0.95196064911291289</c:v>
                </c:pt>
                <c:pt idx="65">
                  <c:v>1.009655233907635</c:v>
                </c:pt>
                <c:pt idx="66">
                  <c:v>1.2981281578812449</c:v>
                </c:pt>
                <c:pt idx="67">
                  <c:v>0.21066203452543592</c:v>
                </c:pt>
                <c:pt idx="68">
                  <c:v>0.30094576360776559</c:v>
                </c:pt>
                <c:pt idx="69">
                  <c:v>0.42633983177766793</c:v>
                </c:pt>
                <c:pt idx="70">
                  <c:v>0.55173389994757027</c:v>
                </c:pt>
                <c:pt idx="71">
                  <c:v>0.6520491544834921</c:v>
                </c:pt>
                <c:pt idx="72">
                  <c:v>0.75236440901941404</c:v>
                </c:pt>
                <c:pt idx="73">
                  <c:v>0.97807373172523815</c:v>
                </c:pt>
                <c:pt idx="74">
                  <c:v>1.2719974275154893</c:v>
                </c:pt>
                <c:pt idx="75">
                  <c:v>0.17555169543786325</c:v>
                </c:pt>
                <c:pt idx="76">
                  <c:v>0.21066203452543592</c:v>
                </c:pt>
                <c:pt idx="77">
                  <c:v>0.30094576360776559</c:v>
                </c:pt>
                <c:pt idx="78">
                  <c:v>0.42633983177766793</c:v>
                </c:pt>
                <c:pt idx="79">
                  <c:v>0.55173389994757027</c:v>
                </c:pt>
                <c:pt idx="80">
                  <c:v>0.6520491544834921</c:v>
                </c:pt>
                <c:pt idx="81">
                  <c:v>0.75236440901941404</c:v>
                </c:pt>
                <c:pt idx="82">
                  <c:v>0.97807373172523815</c:v>
                </c:pt>
                <c:pt idx="83">
                  <c:v>1.1034677998951405</c:v>
                </c:pt>
                <c:pt idx="84">
                  <c:v>1.1787042407970818</c:v>
                </c:pt>
                <c:pt idx="85">
                  <c:v>1.3341928853277609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79040"/>
        <c:axId val="157080576"/>
      </c:scatterChart>
      <c:valAx>
        <c:axId val="157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80576"/>
        <c:crosses val="autoZero"/>
        <c:crossBetween val="midCat"/>
      </c:valAx>
      <c:valAx>
        <c:axId val="157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7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'7specimen'!$V$1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'7specimen'!$V$2:$V$57</c:f>
              <c:numCache>
                <c:formatCode>General</c:formatCode>
                <c:ptCount val="56"/>
                <c:pt idx="0">
                  <c:v>0.3199281370720421</c:v>
                </c:pt>
                <c:pt idx="1">
                  <c:v>0.63985627414408419</c:v>
                </c:pt>
                <c:pt idx="2">
                  <c:v>0.79982034268010516</c:v>
                </c:pt>
                <c:pt idx="3">
                  <c:v>0.95978441121612623</c:v>
                </c:pt>
                <c:pt idx="4">
                  <c:v>1.0749585405620614</c:v>
                </c:pt>
                <c:pt idx="5">
                  <c:v>0.22394969595042946</c:v>
                </c:pt>
                <c:pt idx="6">
                  <c:v>0.63985627414408419</c:v>
                </c:pt>
                <c:pt idx="7">
                  <c:v>0.95978441121612623</c:v>
                </c:pt>
                <c:pt idx="8">
                  <c:v>1.1837341071665557</c:v>
                </c:pt>
                <c:pt idx="9">
                  <c:v>1.2797125482881684</c:v>
                </c:pt>
                <c:pt idx="10">
                  <c:v>1.4556730236777915</c:v>
                </c:pt>
                <c:pt idx="11">
                  <c:v>0.50222458299609085</c:v>
                </c:pt>
                <c:pt idx="12">
                  <c:v>1.0044491659921817</c:v>
                </c:pt>
                <c:pt idx="13">
                  <c:v>1.2555614574902272</c:v>
                </c:pt>
                <c:pt idx="14">
                  <c:v>1.5066737489882727</c:v>
                </c:pt>
                <c:pt idx="15">
                  <c:v>2.0088983319843634</c:v>
                </c:pt>
                <c:pt idx="16">
                  <c:v>2.5111229149804544</c:v>
                </c:pt>
                <c:pt idx="17">
                  <c:v>2.5948270121464696</c:v>
                </c:pt>
                <c:pt idx="18">
                  <c:v>0.47209110801632542</c:v>
                </c:pt>
                <c:pt idx="19">
                  <c:v>1.0044491659921817</c:v>
                </c:pt>
                <c:pt idx="20">
                  <c:v>1.5066737489882727</c:v>
                </c:pt>
                <c:pt idx="21">
                  <c:v>2.0088983319843634</c:v>
                </c:pt>
                <c:pt idx="22">
                  <c:v>2.5111229149804544</c:v>
                </c:pt>
                <c:pt idx="23">
                  <c:v>3.046829136842951</c:v>
                </c:pt>
                <c:pt idx="24">
                  <c:v>0.40633612770480027</c:v>
                </c:pt>
                <c:pt idx="25">
                  <c:v>0.58048018243542898</c:v>
                </c:pt>
                <c:pt idx="26">
                  <c:v>0.69657621892251476</c:v>
                </c:pt>
                <c:pt idx="27">
                  <c:v>0.81267225540960053</c:v>
                </c:pt>
                <c:pt idx="28">
                  <c:v>0.87072027365314342</c:v>
                </c:pt>
                <c:pt idx="29">
                  <c:v>0.92876829189668642</c:v>
                </c:pt>
                <c:pt idx="30">
                  <c:v>1.0332547247350636</c:v>
                </c:pt>
                <c:pt idx="31">
                  <c:v>1.0448643283837722</c:v>
                </c:pt>
                <c:pt idx="32">
                  <c:v>1.0796931393298981</c:v>
                </c:pt>
                <c:pt idx="33">
                  <c:v>0.25415618798524187</c:v>
                </c:pt>
                <c:pt idx="34">
                  <c:v>0.35581866317933858</c:v>
                </c:pt>
                <c:pt idx="35">
                  <c:v>0.40664990077638696</c:v>
                </c:pt>
                <c:pt idx="36">
                  <c:v>0.48289675717195951</c:v>
                </c:pt>
                <c:pt idx="37">
                  <c:v>0.55914361356753206</c:v>
                </c:pt>
                <c:pt idx="38">
                  <c:v>0.63539046996310455</c:v>
                </c:pt>
                <c:pt idx="39">
                  <c:v>0.67097233628103847</c:v>
                </c:pt>
                <c:pt idx="40">
                  <c:v>0.68622170756015299</c:v>
                </c:pt>
                <c:pt idx="41">
                  <c:v>0.26399811021745734</c:v>
                </c:pt>
                <c:pt idx="42">
                  <c:v>0.42239697634793172</c:v>
                </c:pt>
                <c:pt idx="43">
                  <c:v>0.5807958424784061</c:v>
                </c:pt>
                <c:pt idx="44">
                  <c:v>0.73919470860888059</c:v>
                </c:pt>
                <c:pt idx="45">
                  <c:v>0.81311417946976861</c:v>
                </c:pt>
                <c:pt idx="46">
                  <c:v>0.83001005852368592</c:v>
                </c:pt>
                <c:pt idx="47">
                  <c:v>0.85535387710456179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2032"/>
        <c:axId val="158333568"/>
      </c:scatterChart>
      <c:valAx>
        <c:axId val="1583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33568"/>
        <c:crosses val="autoZero"/>
        <c:crossBetween val="midCat"/>
      </c:valAx>
      <c:valAx>
        <c:axId val="1583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'7specimen'!$X$1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'7specimen'!$X$2:$X$246</c:f>
              <c:numCache>
                <c:formatCode>General</c:formatCode>
                <c:ptCount val="245"/>
                <c:pt idx="0">
                  <c:v>0.23577943805121959</c:v>
                </c:pt>
                <c:pt idx="1">
                  <c:v>0.47155887610243918</c:v>
                </c:pt>
                <c:pt idx="2">
                  <c:v>0.58944859512804904</c:v>
                </c:pt>
                <c:pt idx="3">
                  <c:v>0.70733831415365878</c:v>
                </c:pt>
                <c:pt idx="4">
                  <c:v>0.79221891185209792</c:v>
                </c:pt>
                <c:pt idx="5">
                  <c:v>0.16504560663585371</c:v>
                </c:pt>
                <c:pt idx="6">
                  <c:v>0.47155887610243918</c:v>
                </c:pt>
                <c:pt idx="7">
                  <c:v>0.70733831415365878</c:v>
                </c:pt>
                <c:pt idx="8">
                  <c:v>0.87238392078951255</c:v>
                </c:pt>
                <c:pt idx="9">
                  <c:v>0.94311775220487837</c:v>
                </c:pt>
                <c:pt idx="10">
                  <c:v>1.0727964431330492</c:v>
                </c:pt>
                <c:pt idx="11">
                  <c:v>0.365651959189154</c:v>
                </c:pt>
                <c:pt idx="12">
                  <c:v>0.73130391837830799</c:v>
                </c:pt>
                <c:pt idx="13">
                  <c:v>0.91412989797288502</c:v>
                </c:pt>
                <c:pt idx="14">
                  <c:v>1.0969558775674619</c:v>
                </c:pt>
                <c:pt idx="15">
                  <c:v>1.462607836756616</c:v>
                </c:pt>
                <c:pt idx="16">
                  <c:v>1.82825979594577</c:v>
                </c:pt>
                <c:pt idx="17">
                  <c:v>1.8892017891439623</c:v>
                </c:pt>
                <c:pt idx="18">
                  <c:v>0.3437128416378048</c:v>
                </c:pt>
                <c:pt idx="19">
                  <c:v>0.73130391837830799</c:v>
                </c:pt>
                <c:pt idx="20">
                  <c:v>1.0969558775674619</c:v>
                </c:pt>
                <c:pt idx="21">
                  <c:v>1.462607836756616</c:v>
                </c:pt>
                <c:pt idx="22">
                  <c:v>1.82825979594577</c:v>
                </c:pt>
                <c:pt idx="23">
                  <c:v>2.2182885524142009</c:v>
                </c:pt>
                <c:pt idx="24">
                  <c:v>0.34391752677188442</c:v>
                </c:pt>
                <c:pt idx="25">
                  <c:v>0.49131075253126344</c:v>
                </c:pt>
                <c:pt idx="26">
                  <c:v>0.58957290303751608</c:v>
                </c:pt>
                <c:pt idx="27">
                  <c:v>0.68783505354376884</c:v>
                </c:pt>
                <c:pt idx="28">
                  <c:v>0.73696612879689516</c:v>
                </c:pt>
                <c:pt idx="29">
                  <c:v>0.78609720405002148</c:v>
                </c:pt>
                <c:pt idx="30">
                  <c:v>0.87453313950564893</c:v>
                </c:pt>
                <c:pt idx="31">
                  <c:v>0.88435935455627424</c:v>
                </c:pt>
                <c:pt idx="32">
                  <c:v>0.91383799970815005</c:v>
                </c:pt>
                <c:pt idx="33">
                  <c:v>0.21511443759476939</c:v>
                </c:pt>
                <c:pt idx="34">
                  <c:v>0.30116021263267712</c:v>
                </c:pt>
                <c:pt idx="35">
                  <c:v>0.34418310015163101</c:v>
                </c:pt>
                <c:pt idx="36">
                  <c:v>0.40871743143006184</c:v>
                </c:pt>
                <c:pt idx="37">
                  <c:v>0.47325176270849262</c:v>
                </c:pt>
                <c:pt idx="38">
                  <c:v>0.53778609398692345</c:v>
                </c:pt>
                <c:pt idx="39">
                  <c:v>0.56790211525019119</c:v>
                </c:pt>
                <c:pt idx="40">
                  <c:v>0.58080898150587734</c:v>
                </c:pt>
                <c:pt idx="41">
                  <c:v>0.22212320943326952</c:v>
                </c:pt>
                <c:pt idx="42">
                  <c:v>0.35539713509323123</c:v>
                </c:pt>
                <c:pt idx="43">
                  <c:v>0.48867106075319294</c:v>
                </c:pt>
                <c:pt idx="44">
                  <c:v>0.62194498641315465</c:v>
                </c:pt>
                <c:pt idx="45">
                  <c:v>0.68413948505447009</c:v>
                </c:pt>
                <c:pt idx="46">
                  <c:v>0.6983553704581994</c:v>
                </c:pt>
                <c:pt idx="47">
                  <c:v>0.71967919856379325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3296"/>
        <c:axId val="158461952"/>
      </c:scatterChart>
      <c:valAx>
        <c:axId val="158423296"/>
        <c:scaling>
          <c:orientation val="minMax"/>
          <c:max val="60"/>
        </c:scaling>
        <c:delete val="0"/>
        <c:axPos val="b"/>
        <c:majorTickMark val="out"/>
        <c:minorTickMark val="none"/>
        <c:tickLblPos val="nextTo"/>
        <c:crossAx val="158461952"/>
        <c:crosses val="autoZero"/>
        <c:crossBetween val="midCat"/>
      </c:valAx>
      <c:valAx>
        <c:axId val="1584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2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'5specimen'!$V$1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'5specimen'!$V$2:$V$57</c:f>
              <c:numCache>
                <c:formatCode>General</c:formatCode>
                <c:ptCount val="56"/>
                <c:pt idx="0">
                  <c:v>0.35039138953758697</c:v>
                </c:pt>
                <c:pt idx="1">
                  <c:v>0.43562172753321626</c:v>
                </c:pt>
                <c:pt idx="2">
                  <c:v>0.66290262885489426</c:v>
                </c:pt>
                <c:pt idx="3">
                  <c:v>0.94700375550699178</c:v>
                </c:pt>
                <c:pt idx="4">
                  <c:v>1.1837546943837398</c:v>
                </c:pt>
                <c:pt idx="5">
                  <c:v>1.3021301638221137</c:v>
                </c:pt>
                <c:pt idx="6">
                  <c:v>0.27103805982325629</c:v>
                </c:pt>
                <c:pt idx="7">
                  <c:v>0.38719722831893749</c:v>
                </c:pt>
                <c:pt idx="8">
                  <c:v>0.56319596846390907</c:v>
                </c:pt>
                <c:pt idx="9">
                  <c:v>0.77439445663787498</c:v>
                </c:pt>
                <c:pt idx="10">
                  <c:v>0.91519344875385222</c:v>
                </c:pt>
                <c:pt idx="11">
                  <c:v>0.95039319678284651</c:v>
                </c:pt>
                <c:pt idx="12">
                  <c:v>0.24491538480520697</c:v>
                </c:pt>
                <c:pt idx="13">
                  <c:v>0.33642223187528431</c:v>
                </c:pt>
                <c:pt idx="14">
                  <c:v>0.47099112462539805</c:v>
                </c:pt>
                <c:pt idx="15">
                  <c:v>0.60556001737551179</c:v>
                </c:pt>
                <c:pt idx="16">
                  <c:v>0.69975824230059136</c:v>
                </c:pt>
                <c:pt idx="17">
                  <c:v>0.80741335650068236</c:v>
                </c:pt>
                <c:pt idx="18">
                  <c:v>0.87469780287573917</c:v>
                </c:pt>
                <c:pt idx="19">
                  <c:v>0.96889602780081885</c:v>
                </c:pt>
                <c:pt idx="20">
                  <c:v>1.0765511420009097</c:v>
                </c:pt>
                <c:pt idx="21">
                  <c:v>1.197663145476012</c:v>
                </c:pt>
                <c:pt idx="22">
                  <c:v>0.21348581887289769</c:v>
                </c:pt>
                <c:pt idx="23">
                  <c:v>0.3396365300250645</c:v>
                </c:pt>
                <c:pt idx="24">
                  <c:v>0.48519504289294929</c:v>
                </c:pt>
                <c:pt idx="25">
                  <c:v>0.60649380361618654</c:v>
                </c:pt>
                <c:pt idx="26">
                  <c:v>0.72779256433942385</c:v>
                </c:pt>
                <c:pt idx="27">
                  <c:v>0.84909132506266127</c:v>
                </c:pt>
                <c:pt idx="28">
                  <c:v>0.94127838321232171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552"/>
        <c:axId val="66137088"/>
      </c:scatterChart>
      <c:valAx>
        <c:axId val="661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6137088"/>
        <c:crosses val="autoZero"/>
        <c:crossBetween val="midCat"/>
      </c:valAx>
      <c:valAx>
        <c:axId val="661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3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733425</xdr:colOff>
      <xdr:row>27</xdr:row>
      <xdr:rowOff>147637</xdr:rowOff>
    </xdr:from>
    <xdr:to>
      <xdr:col>45</xdr:col>
      <xdr:colOff>190500</xdr:colOff>
      <xdr:row>42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895350</xdr:colOff>
      <xdr:row>10</xdr:row>
      <xdr:rowOff>109537</xdr:rowOff>
    </xdr:from>
    <xdr:to>
      <xdr:col>44</xdr:col>
      <xdr:colOff>523875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866775</xdr:colOff>
      <xdr:row>42</xdr:row>
      <xdr:rowOff>185737</xdr:rowOff>
    </xdr:from>
    <xdr:to>
      <xdr:col>45</xdr:col>
      <xdr:colOff>323850</xdr:colOff>
      <xdr:row>57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638175</xdr:colOff>
      <xdr:row>25</xdr:row>
      <xdr:rowOff>33337</xdr:rowOff>
    </xdr:from>
    <xdr:to>
      <xdr:col>45</xdr:col>
      <xdr:colOff>95250</xdr:colOff>
      <xdr:row>39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133350</xdr:colOff>
      <xdr:row>8</xdr:row>
      <xdr:rowOff>52387</xdr:rowOff>
    </xdr:from>
    <xdr:to>
      <xdr:col>43</xdr:col>
      <xdr:colOff>123825</xdr:colOff>
      <xdr:row>22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1000125</xdr:colOff>
      <xdr:row>42</xdr:row>
      <xdr:rowOff>23812</xdr:rowOff>
    </xdr:from>
    <xdr:to>
      <xdr:col>45</xdr:col>
      <xdr:colOff>457200</xdr:colOff>
      <xdr:row>56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7</xdr:row>
      <xdr:rowOff>14286</xdr:rowOff>
    </xdr:from>
    <xdr:to>
      <xdr:col>43</xdr:col>
      <xdr:colOff>285750</xdr:colOff>
      <xdr:row>21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885825</xdr:colOff>
      <xdr:row>22</xdr:row>
      <xdr:rowOff>42862</xdr:rowOff>
    </xdr:from>
    <xdr:to>
      <xdr:col>44</xdr:col>
      <xdr:colOff>0</xdr:colOff>
      <xdr:row>36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866775</xdr:colOff>
      <xdr:row>11</xdr:row>
      <xdr:rowOff>47625</xdr:rowOff>
    </xdr:from>
    <xdr:to>
      <xdr:col>44</xdr:col>
      <xdr:colOff>371475</xdr:colOff>
      <xdr:row>28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523875</xdr:colOff>
      <xdr:row>23</xdr:row>
      <xdr:rowOff>71437</xdr:rowOff>
    </xdr:from>
    <xdr:to>
      <xdr:col>44</xdr:col>
      <xdr:colOff>590550</xdr:colOff>
      <xdr:row>37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790575</xdr:colOff>
      <xdr:row>6</xdr:row>
      <xdr:rowOff>33337</xdr:rowOff>
    </xdr:from>
    <xdr:to>
      <xdr:col>42</xdr:col>
      <xdr:colOff>371475</xdr:colOff>
      <xdr:row>20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47625</xdr:colOff>
      <xdr:row>23</xdr:row>
      <xdr:rowOff>14287</xdr:rowOff>
    </xdr:from>
    <xdr:to>
      <xdr:col>38</xdr:col>
      <xdr:colOff>371475</xdr:colOff>
      <xdr:row>37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285750</xdr:colOff>
      <xdr:row>22</xdr:row>
      <xdr:rowOff>157162</xdr:rowOff>
    </xdr:from>
    <xdr:to>
      <xdr:col>44</xdr:col>
      <xdr:colOff>352425</xdr:colOff>
      <xdr:row>37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28575</xdr:colOff>
      <xdr:row>7</xdr:row>
      <xdr:rowOff>157162</xdr:rowOff>
    </xdr:from>
    <xdr:to>
      <xdr:col>43</xdr:col>
      <xdr:colOff>19050</xdr:colOff>
      <xdr:row>22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485775</xdr:colOff>
      <xdr:row>22</xdr:row>
      <xdr:rowOff>4762</xdr:rowOff>
    </xdr:from>
    <xdr:to>
      <xdr:col>44</xdr:col>
      <xdr:colOff>552450</xdr:colOff>
      <xdr:row>36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923925</xdr:colOff>
      <xdr:row>4</xdr:row>
      <xdr:rowOff>119062</xdr:rowOff>
    </xdr:from>
    <xdr:to>
      <xdr:col>42</xdr:col>
      <xdr:colOff>504825</xdr:colOff>
      <xdr:row>19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352425</xdr:colOff>
      <xdr:row>19</xdr:row>
      <xdr:rowOff>166687</xdr:rowOff>
    </xdr:from>
    <xdr:to>
      <xdr:col>37</xdr:col>
      <xdr:colOff>790575</xdr:colOff>
      <xdr:row>34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75079</xdr:colOff>
      <xdr:row>0</xdr:row>
      <xdr:rowOff>74517</xdr:rowOff>
    </xdr:from>
    <xdr:ext cx="731744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770844" y="74517"/>
              <a:ext cx="731744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latin typeface="Cambria Math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/>
                        </a:rPr>
                        <m:t>𝑓</m:t>
                      </m:r>
                    </m:e>
                    <m:sub>
                      <m:r>
                        <a:rPr lang="en-US" sz="1400" b="0" i="1">
                          <a:latin typeface="Cambria Math"/>
                        </a:rPr>
                        <m:t>𝑐</m:t>
                      </m:r>
                    </m:sub>
                  </m:sSub>
                </m:oMath>
              </a14:m>
              <a:r>
                <a:rPr lang="en-US" sz="1400"/>
                <a:t> </a:t>
              </a:r>
              <a:r>
                <a:rPr lang="en-US" sz="1400" i="0"/>
                <a:t>(Mpa)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770844" y="74517"/>
              <a:ext cx="731744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𝑓_𝑐</a:t>
              </a:r>
              <a:r>
                <a:rPr lang="en-US" sz="1400"/>
                <a:t> </a:t>
              </a:r>
              <a:r>
                <a:rPr lang="en-US" sz="1400" i="0"/>
                <a:t>(Mpa)</a:t>
              </a: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7</xdr:row>
      <xdr:rowOff>114299</xdr:rowOff>
    </xdr:from>
    <xdr:to>
      <xdr:col>12</xdr:col>
      <xdr:colOff>390525</xdr:colOff>
      <xdr:row>25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123" displayName="Table1123" ref="A1:AP98" totalsRowShown="0" headerRowDxfId="314" dataDxfId="313" tableBorderDxfId="312">
  <autoFilter ref="A1:AP98"/>
  <sortState ref="A2:T57">
    <sortCondition ref="A1:A57"/>
  </sortState>
  <tableColumns count="42">
    <tableColumn id="1" name="Image Seri" dataDxfId="311"/>
    <tableColumn id="20" name="Image Name" dataDxfId="310" dataCellStyle="Normal"/>
    <tableColumn id="2" name="Final Image name" dataDxfId="309" dataCellStyle="Normal"/>
    <tableColumn id="3" name="a/d" dataDxfId="308" dataCellStyle="Normal">
      <calculatedColumnFormula>Table1123[[#This Row],[a (mm)]]/Table1123[[#This Row],[d (mm)]]</calculatedColumnFormula>
    </tableColumn>
    <tableColumn id="4" name="V (KN)" dataDxfId="307" dataCellStyle="Normal"/>
    <tableColumn id="5" name="d" dataDxfId="306" dataCellStyle="Normal">
      <calculatedColumnFormula>Table1123[[#This Row],[d (mm)]]</calculatedColumnFormula>
    </tableColumn>
    <tableColumn id="6" name="M (KN.mm)" dataDxfId="305" dataCellStyle="Normal">
      <calculatedColumnFormula>E2*AB2</calculatedColumnFormula>
    </tableColumn>
    <tableColumn id="7" name="M/EI" dataDxfId="304" dataCellStyle="Normal">
      <calculatedColumnFormula>G2/($AN$5*AK2*0.001)</calculatedColumnFormula>
    </tableColumn>
    <tableColumn id="8" name="M/bd^2" dataDxfId="303" dataCellStyle="Normal">
      <calculatedColumnFormula>G2/(Table1123[[#This Row],[b (mm)]]*AC2^2)</calculatedColumnFormula>
    </tableColumn>
    <tableColumn id="9" name="M/(As fy d)" dataDxfId="302" dataCellStyle="Normal">
      <calculatedColumnFormula>G2/(AG2*AI2*AC2*0.001)</calculatedColumnFormula>
    </tableColumn>
    <tableColumn id="10" name="V/(GJ)" dataDxfId="301" dataCellStyle="Normal">
      <calculatedColumnFormula>E2/($AN$4*AJ2*0.001)</calculatedColumnFormula>
    </tableColumn>
    <tableColumn id="11" name="V/(bd)" dataDxfId="300" dataCellStyle="Normal">
      <calculatedColumnFormula>E2/(Table1123[[#This Row],[b (mm)]]*AC2)</calculatedColumnFormula>
    </tableColumn>
    <tableColumn id="21" name="M/(bd)" dataDxfId="299" dataCellStyle="Normal">
      <calculatedColumnFormula>Table1123[[#This Row],[M (KN.mm)]]/(Table1123[[#This Row],[b (mm)]]*Table1123[[#This Row],[d (mm)]])</calculatedColumnFormula>
    </tableColumn>
    <tableColumn id="22" name="M/bh" dataDxfId="298" dataCellStyle="Normal">
      <calculatedColumnFormula>Table1123[[#This Row],[M (KN.mm)]]/(Table1123[[#This Row],[b (mm)]]*Table1123[[#This Row],[h (mm)]])</calculatedColumnFormula>
    </tableColumn>
    <tableColumn id="28" name="M/(bhl)" dataDxfId="297">
      <calculatedColumnFormula>Table1123[[#This Row],[M (KN.mm)]]/(Table1123[[#This Row],[b (mm)]]*Table1123[[#This Row],[h (mm)]]*Table1123[[#This Row],[L(mm)]])</calculatedColumnFormula>
    </tableColumn>
    <tableColumn id="29" name="M/(bdl)" dataDxfId="296">
      <calculatedColumnFormula>Table1123[[#This Row],[M (KN.mm)]]/(Table1123[[#This Row],[b (mm)]]*Table1123[[#This Row],[d (mm)]]*Table1123[[#This Row],[L(mm)]])</calculatedColumnFormula>
    </tableColumn>
    <tableColumn id="31" name="M/(fc bhl)" dataDxfId="295">
      <calculatedColumnFormula>Table1123[[#This Row],[M (KN.mm)]]/(Table1123[[#This Row],[b (mm)]]*Table1123[[#This Row],[h (mm)]]*Table1123[[#This Row],[L(mm)]]*Table1123[[#This Row],[fc (Mpa)]])</calculatedColumnFormula>
    </tableColumn>
    <tableColumn id="32" name="M/(bh (l/2))" dataDxfId="294">
      <calculatedColumnFormula>Table1123[[#This Row],[M (KN.mm)]]/(Table1123[[#This Row],[b (mm)]]*Table1123[[#This Row],[h (mm)]]*Table1123[[#This Row],[L(mm)]]/2)</calculatedColumnFormula>
    </tableColumn>
    <tableColumn id="33" name="M/(abh (l/2))" dataDxfId="293">
      <calculatedColumnFormula>Table1123[[#This Row],[M (KN.mm)]]/(Table1123[[#This Row],[a (mm)]]*Table1123[[#This Row],[b (mm)]]*Table1123[[#This Row],[h (mm)]]*Table1123[[#This Row],[L(mm)]]/2)</calculatedColumnFormula>
    </tableColumn>
    <tableColumn id="34" name="M/(rho  EI)" dataDxfId="0">
      <calculatedColumnFormula>G2/($AN$5*AK2*0.001*Table1123[[#This Row],[pho (%)]])</calculatedColumnFormula>
    </tableColumn>
    <tableColumn id="35" name="M/(rho  bd)2" dataDxfId="292">
      <calculatedColumnFormula>Table1123[[#This Row],[M (KN.mm)]]/(Table1123[[#This Row],[b (mm)]]*Table1123[[#This Row],[d (mm)]]*Table1123[[#This Row],[pho (%)]])</calculatedColumnFormula>
    </tableColumn>
    <tableColumn id="38" name="V/(2*sqrt(fc) bd)" dataDxfId="291">
      <calculatedColumnFormula>E2*224.8/(2*SQRT(Table1123[[#This Row],[fc (Mpa)]]*145.037)*Table1123[[#This Row],[b (mm)]]*Table1123[[#This Row],[d (mm)]]*(1/25.4)^2)</calculatedColumnFormula>
    </tableColumn>
    <tableColumn id="36" name="M/M_fracture" dataDxfId="290">
      <calculatedColumnFormula>Table1123[[#This Row],[M (KN.mm)]]/$G$17</calculatedColumnFormula>
    </tableColumn>
    <tableColumn id="39" name="V/(2 sqrt(fc) bd+Av fy d/s )" dataDxfId="289">
      <calculatedColumnFormula>E2*224.8/(2*SQRT(Table1123[[#This Row],[fc (Mpa)]]*145.037)*Table1123[[#This Row],[b (mm)]]*Table1123[[#This Row],[d (mm)]]*(1/25.4)^2+Table1123[[#This Row],[Av fy d/s (N)]]*0.2248)</calculatedColumnFormula>
    </tableColumn>
    <tableColumn id="40" name="Av fy/(b S) (Mpa)" dataDxfId="288"/>
    <tableColumn id="41" name="Av fy d/s (N)" dataDxfId="287">
      <calculatedColumnFormula>Table1123[[#This Row],[Av fy/(b S) (Mpa)]]*Table1123[[#This Row],[d (mm)]]*Table1123[[#This Row],[b (mm)]]</calculatedColumnFormula>
    </tableColumn>
    <tableColumn id="42" name="d/s" dataDxfId="286">
      <calculatedColumnFormula>Table1123[[#This Row],[d (mm)]]/300</calculatedColumnFormula>
    </tableColumn>
    <tableColumn id="12" name="a (mm)" dataDxfId="285" dataCellStyle="Normal"/>
    <tableColumn id="13" name="d (mm)" dataDxfId="284" dataCellStyle="Normal"/>
    <tableColumn id="14" name="h (mm)" dataDxfId="283" dataCellStyle="Normal"/>
    <tableColumn id="15" name="b (mm)" dataDxfId="282" dataCellStyle="Normal">
      <calculatedColumnFormula>22.5*25.4</calculatedColumnFormula>
    </tableColumn>
    <tableColumn id="16" name="fc (Mpa)" dataDxfId="281" dataCellStyle="Normal"/>
    <tableColumn id="17" name="As (mm^2)" dataDxfId="280" dataCellStyle="Normal"/>
    <tableColumn id="18" name="pho (%)" dataDxfId="279" dataCellStyle="Normal">
      <calculatedColumnFormula>AG2/(Table1123[[#This Row],[b (mm)]]*AC2)*100</calculatedColumnFormula>
    </tableColumn>
    <tableColumn id="19" name="fy (Mpa)" dataDxfId="278" dataCellStyle="Normal"/>
    <tableColumn id="23" name="J(mm^4)" dataDxfId="277" dataCellStyle="Normal">
      <calculatedColumnFormula>(1/3-0.21*(MIN(Table1123[[#This Row],[b (mm)]],AD2)/MAX(Table1123[[#This Row],[b (mm)]],AD2))*(MIN(Table1123[[#This Row],[b (mm)]],AD2)^4/(12*MAX(Table1123[[#This Row],[b (mm)]],AD2)^4)))*MAX(Table1123[[#This Row],[b (mm)]],AD2)*MIN(Table1123[[#This Row],[b (mm)]],AD2)^3</calculatedColumnFormula>
    </tableColumn>
    <tableColumn id="24" name="I (mm^4)" dataDxfId="276" dataCellStyle="Normal">
      <calculatedColumnFormula>Table1123[[#This Row],[b (mm)]]*AD2^3/12</calculatedColumnFormula>
    </tableColumn>
    <tableColumn id="25" name="L(mm)" dataDxfId="275" dataCellStyle="Normal"/>
    <tableColumn id="26" name="Column1" dataDxfId="274" dataCellStyle="Normal"/>
    <tableColumn id="27" name="Column2" dataDxfId="273" dataCellStyle="Normal"/>
    <tableColumn id="30" name="Column3" dataDxfId="272"/>
    <tableColumn id="37" name="Column4" dataDxfId="2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1232" displayName="Table11232" ref="A1:AP98" totalsRowShown="0" headerRowDxfId="270" dataDxfId="269" tableBorderDxfId="268">
  <autoFilter ref="A1:AP98"/>
  <sortState ref="A2:T57">
    <sortCondition ref="A1:A57"/>
  </sortState>
  <tableColumns count="42">
    <tableColumn id="1" name="Image Seri" dataDxfId="267"/>
    <tableColumn id="20" name="Image Name" dataDxfId="266" dataCellStyle="Normal"/>
    <tableColumn id="2" name="Final Image name" dataDxfId="265" dataCellStyle="Normal"/>
    <tableColumn id="3" name="a/d" dataDxfId="264" dataCellStyle="Normal">
      <calculatedColumnFormula>Table11232[[#This Row],[a (mm)]]/Table11232[[#This Row],[d (mm)]]</calculatedColumnFormula>
    </tableColumn>
    <tableColumn id="4" name="V (KN)" dataDxfId="263" dataCellStyle="Normal"/>
    <tableColumn id="5" name="d" dataDxfId="262" dataCellStyle="Normal">
      <calculatedColumnFormula>Table11232[[#This Row],[d (mm)]]</calculatedColumnFormula>
    </tableColumn>
    <tableColumn id="6" name="M (KN.mm)" dataDxfId="261" dataCellStyle="Normal">
      <calculatedColumnFormula>E2*AB2</calculatedColumnFormula>
    </tableColumn>
    <tableColumn id="7" name="M/EI" dataDxfId="260" dataCellStyle="Normal">
      <calculatedColumnFormula>G2/($AN$5*AK2*0.001)</calculatedColumnFormula>
    </tableColumn>
    <tableColumn id="8" name="M/bd^2" dataDxfId="259" dataCellStyle="Normal">
      <calculatedColumnFormula>G2/(Table11232[[#This Row],[b (mm)]]*AC2^2)</calculatedColumnFormula>
    </tableColumn>
    <tableColumn id="9" name="M/(As fy d)" dataDxfId="258" dataCellStyle="Normal">
      <calculatedColumnFormula>G2/(AG2*AI2*AC2*0.001)</calculatedColumnFormula>
    </tableColumn>
    <tableColumn id="10" name="V/(GJ)" dataDxfId="257" dataCellStyle="Normal">
      <calculatedColumnFormula>E2/($AN$4*AJ2*0.001)</calculatedColumnFormula>
    </tableColumn>
    <tableColumn id="11" name="V/(bd)" dataDxfId="256" dataCellStyle="Normal">
      <calculatedColumnFormula>E2/(Table11232[[#This Row],[b (mm)]]*AC2)</calculatedColumnFormula>
    </tableColumn>
    <tableColumn id="21" name="M/(bd)" dataDxfId="255" dataCellStyle="Normal">
      <calculatedColumnFormula>Table11232[[#This Row],[M (KN.mm)]]/(Table11232[[#This Row],[b (mm)]]*Table11232[[#This Row],[d (mm)]])</calculatedColumnFormula>
    </tableColumn>
    <tableColumn id="22" name="M/bh" dataDxfId="254" dataCellStyle="Normal">
      <calculatedColumnFormula>Table11232[[#This Row],[M (KN.mm)]]/(Table11232[[#This Row],[b (mm)]]*Table11232[[#This Row],[h (mm)]])</calculatedColumnFormula>
    </tableColumn>
    <tableColumn id="28" name="M/(bhl)" dataDxfId="253">
      <calculatedColumnFormula>Table11232[[#This Row],[M (KN.mm)]]/(Table11232[[#This Row],[b (mm)]]*Table11232[[#This Row],[h (mm)]]*Table11232[[#This Row],[L(mm)]])</calculatedColumnFormula>
    </tableColumn>
    <tableColumn id="29" name="M/(bdl)" dataDxfId="252">
      <calculatedColumnFormula>Table11232[[#This Row],[M (KN.mm)]]/(Table11232[[#This Row],[b (mm)]]*Table11232[[#This Row],[d (mm)]]*Table11232[[#This Row],[L(mm)]])</calculatedColumnFormula>
    </tableColumn>
    <tableColumn id="31" name="M/(fc bhl)" dataDxfId="251">
      <calculatedColumnFormula>Table11232[[#This Row],[M (KN.mm)]]/(Table11232[[#This Row],[b (mm)]]*Table11232[[#This Row],[h (mm)]]*Table11232[[#This Row],[L(mm)]]*Table11232[[#This Row],[fc (Mpa)]])</calculatedColumnFormula>
    </tableColumn>
    <tableColumn id="32" name="M/(bh (l/2))" dataDxfId="250">
      <calculatedColumnFormula>Table11232[[#This Row],[M (KN.mm)]]/(Table11232[[#This Row],[b (mm)]]*Table11232[[#This Row],[h (mm)]]*Table11232[[#This Row],[L(mm)]]/2)</calculatedColumnFormula>
    </tableColumn>
    <tableColumn id="33" name="M/(abh (l/2))" dataDxfId="249">
      <calculatedColumnFormula>Table11232[[#This Row],[M (KN.mm)]]/(Table11232[[#This Row],[a (mm)]]*Table11232[[#This Row],[b (mm)]]*Table11232[[#This Row],[h (mm)]]*Table11232[[#This Row],[L(mm)]]/2)</calculatedColumnFormula>
    </tableColumn>
    <tableColumn id="34" name="M/(rho  EI)" dataDxfId="248">
      <calculatedColumnFormula>Table11232[[#This Row],[M (KN.mm)]]/(Table11232[[#This Row],[a (mm)]]^2*Table11232[[#This Row],[b (mm)]]*Table11232[[#This Row],[h (mm)]])</calculatedColumnFormula>
    </tableColumn>
    <tableColumn id="35" name="M/(rho  bd)" dataDxfId="247">
      <calculatedColumnFormula>Table11232[[#This Row],[M (KN.mm)]]/(Table11232[[#This Row],[b (mm)]]*Table11232[[#This Row],[d (mm)]]*Table11232[[#This Row],[pho (%)]])</calculatedColumnFormula>
    </tableColumn>
    <tableColumn id="38" name="V/(2*sqrt(fc) bd)" dataDxfId="246">
      <calculatedColumnFormula>E2*224.8/(2*SQRT(Table11232[[#This Row],[fc (Mpa)]]*145.037)*Table11232[[#This Row],[b (mm)]]*Table11232[[#This Row],[d (mm)]]*(1/25.4)^2)</calculatedColumnFormula>
    </tableColumn>
    <tableColumn id="36" name="M/M_fracture" dataDxfId="245">
      <calculatedColumnFormula>Table11232[[#This Row],[M (KN.mm)]]/$G$17</calculatedColumnFormula>
    </tableColumn>
    <tableColumn id="39" name="V/(2 sqrt(fc) bd+Av fy d/s )" dataDxfId="244">
      <calculatedColumnFormula>E2*224.8/(2*SQRT(Table11232[[#This Row],[fc (Mpa)]]*145.037)*Table11232[[#This Row],[b (mm)]]*Table11232[[#This Row],[d (mm)]]*(1/25.4)^2+Table11232[[#This Row],[Av fy d/s (N)]]*0.2248)</calculatedColumnFormula>
    </tableColumn>
    <tableColumn id="40" name="Av fy/(b S) (Mpa)" dataDxfId="243"/>
    <tableColumn id="41" name="Av fy d/s (N)" dataDxfId="242">
      <calculatedColumnFormula>Table11232[[#This Row],[Av fy/(b S) (Mpa)]]*Table11232[[#This Row],[d (mm)]]*Table11232[[#This Row],[b (mm)]]</calculatedColumnFormula>
    </tableColumn>
    <tableColumn id="42" name="d/s" dataDxfId="241">
      <calculatedColumnFormula>Table11232[[#This Row],[d (mm)]]/300</calculatedColumnFormula>
    </tableColumn>
    <tableColumn id="12" name="a (mm)" dataDxfId="240" dataCellStyle="Normal">
      <calculatedColumnFormula>Table11232[[#This Row],[a/d]]*Table11232[[#This Row],[d]]</calculatedColumnFormula>
    </tableColumn>
    <tableColumn id="13" name="d (mm)" dataDxfId="239" dataCellStyle="Normal">
      <calculatedColumnFormula>Table11232[[#This Row],[d]]</calculatedColumnFormula>
    </tableColumn>
    <tableColumn id="14" name="h (mm)" dataDxfId="238" dataCellStyle="Normal"/>
    <tableColumn id="15" name="b (mm)" dataDxfId="237" dataCellStyle="Normal">
      <calculatedColumnFormula>22.5*25.4</calculatedColumnFormula>
    </tableColumn>
    <tableColumn id="16" name="fc (Mpa)" dataDxfId="236" dataCellStyle="Normal"/>
    <tableColumn id="17" name="As (mm^2)" dataDxfId="235" dataCellStyle="Normal">
      <calculatedColumnFormula>Table11232[[#This Row],[pho (%)]]/100*Table11232[[#This Row],[b (mm)]]*Table11232[[#This Row],[d (mm)]]</calculatedColumnFormula>
    </tableColumn>
    <tableColumn id="18" name="pho (%)" dataDxfId="234" dataCellStyle="Normal">
      <calculatedColumnFormula>AG2/(Table11232[[#This Row],[b (mm)]]*AC2)*100</calculatedColumnFormula>
    </tableColumn>
    <tableColumn id="19" name="fy (Mpa)" dataDxfId="233" dataCellStyle="Normal"/>
    <tableColumn id="23" name="J(mm^4)" dataDxfId="232" dataCellStyle="Normal">
      <calculatedColumnFormula>(1/3-0.21*(MIN(Table11232[[#This Row],[b (mm)]],AD2)/MAX(Table11232[[#This Row],[b (mm)]],AD2))*(MIN(Table11232[[#This Row],[b (mm)]],AD2)^4/(12*MAX(Table11232[[#This Row],[b (mm)]],AD2)^4)))*MAX(Table11232[[#This Row],[b (mm)]],AD2)*MIN(Table11232[[#This Row],[b (mm)]],AD2)^3</calculatedColumnFormula>
    </tableColumn>
    <tableColumn id="24" name="I (mm^4)" dataDxfId="231" dataCellStyle="Normal">
      <calculatedColumnFormula>Table11232[[#This Row],[b (mm)]]*AD2^3/12</calculatedColumnFormula>
    </tableColumn>
    <tableColumn id="25" name="L(mm)" dataDxfId="230" dataCellStyle="Normal"/>
    <tableColumn id="26" name="Column1" dataDxfId="229" dataCellStyle="Normal"/>
    <tableColumn id="27" name="Column2" dataDxfId="228" dataCellStyle="Normal"/>
    <tableColumn id="30" name="Column3" dataDxfId="227"/>
    <tableColumn id="37" name="Column4" dataDxfId="2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12324" displayName="Table112324" ref="A1:AP98" totalsRowShown="0" headerRowDxfId="225" dataDxfId="224" tableBorderDxfId="223">
  <autoFilter ref="A1:AP98"/>
  <sortState ref="A2:T57">
    <sortCondition ref="A1:A57"/>
  </sortState>
  <tableColumns count="42">
    <tableColumn id="1" name="Image Seri" dataDxfId="222"/>
    <tableColumn id="20" name="Image Name" dataDxfId="221" dataCellStyle="Normal"/>
    <tableColumn id="2" name="Final Image name" dataDxfId="220" dataCellStyle="Normal"/>
    <tableColumn id="3" name="a/d" dataDxfId="219" dataCellStyle="Normal">
      <calculatedColumnFormula>Table112324[[#This Row],[a (mm)]]/Table112324[[#This Row],[d (mm)]]</calculatedColumnFormula>
    </tableColumn>
    <tableColumn id="4" name="V (KN)" dataDxfId="218" dataCellStyle="Normal"/>
    <tableColumn id="5" name="d" dataDxfId="217" dataCellStyle="Normal">
      <calculatedColumnFormula>Table112324[[#This Row],[d (mm)]]</calculatedColumnFormula>
    </tableColumn>
    <tableColumn id="6" name="M (KN.mm)" dataDxfId="216" dataCellStyle="Normal">
      <calculatedColumnFormula>E2*AB2</calculatedColumnFormula>
    </tableColumn>
    <tableColumn id="7" name="M/EI" dataDxfId="215" dataCellStyle="Normal">
      <calculatedColumnFormula>G2/($AN$5*AK2*0.001)</calculatedColumnFormula>
    </tableColumn>
    <tableColumn id="8" name="M/bd^2" dataDxfId="214" dataCellStyle="Normal">
      <calculatedColumnFormula>G2/(Table112324[[#This Row],[b (mm)]]*AC2^2)</calculatedColumnFormula>
    </tableColumn>
    <tableColumn id="9" name="M/(As fy d)" dataDxfId="213" dataCellStyle="Normal">
      <calculatedColumnFormula>G2/(AG2*AI2*AC2*0.001)</calculatedColumnFormula>
    </tableColumn>
    <tableColumn id="10" name="V/(GJ)" dataDxfId="212" dataCellStyle="Normal">
      <calculatedColumnFormula>E2/($AN$4*AJ2*0.001)</calculatedColumnFormula>
    </tableColumn>
    <tableColumn id="11" name="V/(bd)" dataDxfId="211" dataCellStyle="Normal">
      <calculatedColumnFormula>E2/(Table112324[[#This Row],[b (mm)]]*AC2)</calculatedColumnFormula>
    </tableColumn>
    <tableColumn id="21" name="M/(bd)" dataDxfId="210" dataCellStyle="Normal">
      <calculatedColumnFormula>Table112324[[#This Row],[M (KN.mm)]]/(Table112324[[#This Row],[b (mm)]]*Table112324[[#This Row],[d (mm)]])</calculatedColumnFormula>
    </tableColumn>
    <tableColumn id="22" name="M/bh" dataDxfId="209" dataCellStyle="Normal">
      <calculatedColumnFormula>Table112324[[#This Row],[M (KN.mm)]]/(Table112324[[#This Row],[b (mm)]]*Table112324[[#This Row],[h (mm)]])</calculatedColumnFormula>
    </tableColumn>
    <tableColumn id="28" name="M/(bhl)" dataDxfId="208">
      <calculatedColumnFormula>Table112324[[#This Row],[M (KN.mm)]]/(Table112324[[#This Row],[b (mm)]]*Table112324[[#This Row],[h (mm)]]*Table112324[[#This Row],[L(mm)]])</calculatedColumnFormula>
    </tableColumn>
    <tableColumn id="29" name="M/(bdl)" dataDxfId="207">
      <calculatedColumnFormula>Table112324[[#This Row],[M (KN.mm)]]/(Table112324[[#This Row],[b (mm)]]*Table112324[[#This Row],[d (mm)]]*Table112324[[#This Row],[L(mm)]])</calculatedColumnFormula>
    </tableColumn>
    <tableColumn id="31" name="M/(fc bhl)" dataDxfId="206">
      <calculatedColumnFormula>Table112324[[#This Row],[M (KN.mm)]]/(Table112324[[#This Row],[b (mm)]]*Table112324[[#This Row],[h (mm)]]*Table112324[[#This Row],[L(mm)]]*Table112324[[#This Row],[fc (Mpa)]])</calculatedColumnFormula>
    </tableColumn>
    <tableColumn id="32" name="M/(bh (l/2))" dataDxfId="205">
      <calculatedColumnFormula>Table112324[[#This Row],[M (KN.mm)]]/(Table112324[[#This Row],[b (mm)]]*Table112324[[#This Row],[h (mm)]]*Table112324[[#This Row],[L(mm)]]/2)</calculatedColumnFormula>
    </tableColumn>
    <tableColumn id="33" name="M/(abh (l/2))" dataDxfId="204">
      <calculatedColumnFormula>Table112324[[#This Row],[M (KN.mm)]]/(Table112324[[#This Row],[a (mm)]]*Table112324[[#This Row],[b (mm)]]*Table112324[[#This Row],[h (mm)]]*Table112324[[#This Row],[L(mm)]]/2)</calculatedColumnFormula>
    </tableColumn>
    <tableColumn id="34" name="M/(rho  EI)" dataDxfId="203">
      <calculatedColumnFormula>Table112324[[#This Row],[M (KN.mm)]]/(Table112324[[#This Row],[a (mm)]]^2*Table112324[[#This Row],[b (mm)]]*Table112324[[#This Row],[h (mm)]])</calculatedColumnFormula>
    </tableColumn>
    <tableColumn id="35" name="M/(rho  bd)" dataDxfId="202">
      <calculatedColumnFormula>Table112324[[#This Row],[M (KN.mm)]]/(Table112324[[#This Row],[b (mm)]]*Table112324[[#This Row],[d (mm)]]*Table112324[[#This Row],[pho (%)]])</calculatedColumnFormula>
    </tableColumn>
    <tableColumn id="38" name="V/(2*sqrt(fc) bd)" dataDxfId="201">
      <calculatedColumnFormula>E2*224.8/(2*SQRT(Table112324[[#This Row],[fc (Mpa)]]*145.037)*Table112324[[#This Row],[b (mm)]]*Table112324[[#This Row],[d (mm)]]*(1/25.4)^2)</calculatedColumnFormula>
    </tableColumn>
    <tableColumn id="36" name="M/M_fracture" dataDxfId="200">
      <calculatedColumnFormula>Table112324[[#This Row],[M (KN.mm)]]/$G$17</calculatedColumnFormula>
    </tableColumn>
    <tableColumn id="39" name="V/(2 sqrt(fc) bd+Av fy d/s )" dataDxfId="199">
      <calculatedColumnFormula>E2*224.8/(2*SQRT(Table112324[[#This Row],[fc (Mpa)]]*145.037)*Table112324[[#This Row],[b (mm)]]*Table112324[[#This Row],[d (mm)]]*(1/25.4)^2+Table112324[[#This Row],[Av fy d/s (N)]]*0.2248)</calculatedColumnFormula>
    </tableColumn>
    <tableColumn id="40" name="Av fy/(b S) (Mpa)" dataDxfId="198"/>
    <tableColumn id="41" name="Av fy d/s (N)" dataDxfId="197">
      <calculatedColumnFormula>Table112324[[#This Row],[Av fy/(b S) (Mpa)]]*Table112324[[#This Row],[d (mm)]]*Table112324[[#This Row],[b (mm)]]</calculatedColumnFormula>
    </tableColumn>
    <tableColumn id="42" name="d/s" dataDxfId="196">
      <calculatedColumnFormula>Table112324[[#This Row],[d (mm)]]/300</calculatedColumnFormula>
    </tableColumn>
    <tableColumn id="12" name="a (mm)" dataDxfId="195" dataCellStyle="Normal">
      <calculatedColumnFormula>Table112324[[#This Row],[a/d]]*Table112324[[#This Row],[d]]</calculatedColumnFormula>
    </tableColumn>
    <tableColumn id="13" name="d (mm)" dataDxfId="194" dataCellStyle="Normal">
      <calculatedColumnFormula>Table112324[[#This Row],[d]]</calculatedColumnFormula>
    </tableColumn>
    <tableColumn id="14" name="h (mm)" dataDxfId="193" dataCellStyle="Normal"/>
    <tableColumn id="15" name="b (mm)" dataDxfId="192" dataCellStyle="Normal">
      <calculatedColumnFormula>22.5*25.4</calculatedColumnFormula>
    </tableColumn>
    <tableColumn id="16" name="fc (Mpa)" dataDxfId="191" dataCellStyle="Normal"/>
    <tableColumn id="17" name="As (mm^2)" dataDxfId="190" dataCellStyle="Normal">
      <calculatedColumnFormula>Table112324[[#This Row],[pho (%)]]/100*Table112324[[#This Row],[b (mm)]]*Table112324[[#This Row],[d (mm)]]</calculatedColumnFormula>
    </tableColumn>
    <tableColumn id="18" name="pho (%)" dataDxfId="189" dataCellStyle="Normal">
      <calculatedColumnFormula>AG2/(Table112324[[#This Row],[b (mm)]]*AC2)*100</calculatedColumnFormula>
    </tableColumn>
    <tableColumn id="19" name="fy (Mpa)" dataDxfId="188" dataCellStyle="Normal"/>
    <tableColumn id="23" name="J(mm^4)" dataDxfId="187" dataCellStyle="Normal">
      <calculatedColumnFormula>(1/3-0.21*(MIN(Table112324[[#This Row],[b (mm)]],AD2)/MAX(Table112324[[#This Row],[b (mm)]],AD2))*(MIN(Table112324[[#This Row],[b (mm)]],AD2)^4/(12*MAX(Table112324[[#This Row],[b (mm)]],AD2)^4)))*MAX(Table112324[[#This Row],[b (mm)]],AD2)*MIN(Table112324[[#This Row],[b (mm)]],AD2)^3</calculatedColumnFormula>
    </tableColumn>
    <tableColumn id="24" name="I (mm^4)" dataDxfId="186" dataCellStyle="Normal">
      <calculatedColumnFormula>Table112324[[#This Row],[b (mm)]]*AD2^3/12</calculatedColumnFormula>
    </tableColumn>
    <tableColumn id="25" name="L(mm)" dataDxfId="185" dataCellStyle="Normal"/>
    <tableColumn id="26" name="Column1" dataDxfId="184" dataCellStyle="Normal"/>
    <tableColumn id="27" name="Column2" dataDxfId="183" dataCellStyle="Normal"/>
    <tableColumn id="30" name="Column3" dataDxfId="182"/>
    <tableColumn id="37" name="Column4" dataDxfId="18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1123245" displayName="Table1123245" ref="A1:AP98" totalsRowShown="0" headerRowDxfId="180" dataDxfId="179" tableBorderDxfId="178">
  <autoFilter ref="A1:AP98"/>
  <sortState ref="A2:T57">
    <sortCondition ref="A1:A57"/>
  </sortState>
  <tableColumns count="42">
    <tableColumn id="1" name="Image Seri" dataDxfId="177"/>
    <tableColumn id="20" name="Image Name" dataDxfId="176" dataCellStyle="Normal"/>
    <tableColumn id="2" name="Final Image name" dataDxfId="175" dataCellStyle="Normal"/>
    <tableColumn id="3" name="a/d" dataDxfId="174" dataCellStyle="Normal">
      <calculatedColumnFormula>Table1123245[[#This Row],[a (mm)]]/Table1123245[[#This Row],[d (mm)]]</calculatedColumnFormula>
    </tableColumn>
    <tableColumn id="4" name="V (KN)" dataDxfId="173" dataCellStyle="Normal"/>
    <tableColumn id="5" name="d" dataDxfId="172" dataCellStyle="Normal">
      <calculatedColumnFormula>Table1123245[[#This Row],[d (mm)]]</calculatedColumnFormula>
    </tableColumn>
    <tableColumn id="6" name="M (KN.mm)" dataDxfId="171" dataCellStyle="Normal">
      <calculatedColumnFormula>E2*AB2</calculatedColumnFormula>
    </tableColumn>
    <tableColumn id="7" name="M/EI" dataDxfId="170" dataCellStyle="Normal">
      <calculatedColumnFormula>G2/($AN$5*AK2*0.001)</calculatedColumnFormula>
    </tableColumn>
    <tableColumn id="8" name="M/bd^2" dataDxfId="169" dataCellStyle="Normal">
      <calculatedColumnFormula>G2/(Table1123245[[#This Row],[b (mm)]]*AC2^2)</calculatedColumnFormula>
    </tableColumn>
    <tableColumn id="9" name="M/(As fy d)" dataDxfId="168" dataCellStyle="Normal">
      <calculatedColumnFormula>G2/(AG2*AI2*AC2*0.001)</calculatedColumnFormula>
    </tableColumn>
    <tableColumn id="10" name="V/(GJ)" dataDxfId="167" dataCellStyle="Normal">
      <calculatedColumnFormula>E2/($AN$4*AJ2*0.001)</calculatedColumnFormula>
    </tableColumn>
    <tableColumn id="11" name="V/(bd)" dataDxfId="166" dataCellStyle="Normal">
      <calculatedColumnFormula>E2/(Table1123245[[#This Row],[b (mm)]]*AC2)</calculatedColumnFormula>
    </tableColumn>
    <tableColumn id="21" name="M/(bd)" dataDxfId="165" dataCellStyle="Normal">
      <calculatedColumnFormula>Table1123245[[#This Row],[M (KN.mm)]]/(Table1123245[[#This Row],[b (mm)]]*Table1123245[[#This Row],[d (mm)]])</calculatedColumnFormula>
    </tableColumn>
    <tableColumn id="22" name="M/bh" dataDxfId="164" dataCellStyle="Normal">
      <calculatedColumnFormula>Table1123245[[#This Row],[M (KN.mm)]]/(Table1123245[[#This Row],[b (mm)]]*Table1123245[[#This Row],[h (mm)]])</calculatedColumnFormula>
    </tableColumn>
    <tableColumn id="28" name="M/(bhl)" dataDxfId="163">
      <calculatedColumnFormula>Table1123245[[#This Row],[M (KN.mm)]]/(Table1123245[[#This Row],[b (mm)]]*Table1123245[[#This Row],[h (mm)]]*Table1123245[[#This Row],[L(mm)]])</calculatedColumnFormula>
    </tableColumn>
    <tableColumn id="29" name="M/(bdl)" dataDxfId="162">
      <calculatedColumnFormula>Table1123245[[#This Row],[M (KN.mm)]]/(Table1123245[[#This Row],[b (mm)]]*Table1123245[[#This Row],[d (mm)]]*Table1123245[[#This Row],[L(mm)]])</calculatedColumnFormula>
    </tableColumn>
    <tableColumn id="31" name="M/(fc bhl)" dataDxfId="161">
      <calculatedColumnFormula>Table1123245[[#This Row],[M (KN.mm)]]/(Table1123245[[#This Row],[b (mm)]]*Table1123245[[#This Row],[h (mm)]]*Table1123245[[#This Row],[L(mm)]]*Table1123245[[#This Row],[fc (Mpa)]])</calculatedColumnFormula>
    </tableColumn>
    <tableColumn id="32" name="M/(bh (l/2))" dataDxfId="160">
      <calculatedColumnFormula>Table1123245[[#This Row],[M (KN.mm)]]/(Table1123245[[#This Row],[b (mm)]]*Table1123245[[#This Row],[h (mm)]]*Table1123245[[#This Row],[L(mm)]]/2)</calculatedColumnFormula>
    </tableColumn>
    <tableColumn id="33" name="M/(abh (l/2))" dataDxfId="159">
      <calculatedColumnFormula>Table1123245[[#This Row],[M (KN.mm)]]/(Table1123245[[#This Row],[a (mm)]]*Table1123245[[#This Row],[b (mm)]]*Table1123245[[#This Row],[h (mm)]]*Table1123245[[#This Row],[L(mm)]]/2)</calculatedColumnFormula>
    </tableColumn>
    <tableColumn id="34" name="M/(rho  EI)" dataDxfId="158">
      <calculatedColumnFormula>Table1123245[[#This Row],[M (KN.mm)]]/(Table1123245[[#This Row],[a (mm)]]^2*Table1123245[[#This Row],[b (mm)]]*Table1123245[[#This Row],[h (mm)]])</calculatedColumnFormula>
    </tableColumn>
    <tableColumn id="35" name="M/(rho  bd)" dataDxfId="157">
      <calculatedColumnFormula>Table1123245[[#This Row],[M (KN.mm)]]/(Table1123245[[#This Row],[b (mm)]]*Table1123245[[#This Row],[d (mm)]]*Table1123245[[#This Row],[pho (%)]])</calculatedColumnFormula>
    </tableColumn>
    <tableColumn id="38" name="V/(2*sqrt(fc) bd)" dataDxfId="156">
      <calculatedColumnFormula>E2*224.8/(2*SQRT(Table1123245[[#This Row],[fc (Mpa)]]*145.037)*Table1123245[[#This Row],[b (mm)]]*Table1123245[[#This Row],[d (mm)]]*(1/25.4)^2)</calculatedColumnFormula>
    </tableColumn>
    <tableColumn id="36" name="M/M_fracture" dataDxfId="155">
      <calculatedColumnFormula>Table1123245[[#This Row],[M (KN.mm)]]/$G$17</calculatedColumnFormula>
    </tableColumn>
    <tableColumn id="39" name="V/(2 sqrt(fc) bd+Av fy d/s )" dataDxfId="154">
      <calculatedColumnFormula>E2*224.8/(2*SQRT(Table1123245[[#This Row],[fc (Mpa)]]*145.037)*Table1123245[[#This Row],[b (mm)]]*Table1123245[[#This Row],[d (mm)]]*(1/25.4)^2+Table1123245[[#This Row],[Av fy d/s (N)]]*0.2248)</calculatedColumnFormula>
    </tableColumn>
    <tableColumn id="40" name="Av fy/(b S) (Mpa)" dataDxfId="153"/>
    <tableColumn id="41" name="Av fy d/s (N)" dataDxfId="152">
      <calculatedColumnFormula>Table1123245[[#This Row],[Av fy/(b S) (Mpa)]]*Table1123245[[#This Row],[d (mm)]]*Table1123245[[#This Row],[b (mm)]]</calculatedColumnFormula>
    </tableColumn>
    <tableColumn id="42" name="d/s" dataDxfId="151">
      <calculatedColumnFormula>Table1123245[[#This Row],[d (mm)]]/300</calculatedColumnFormula>
    </tableColumn>
    <tableColumn id="12" name="a (mm)" dataDxfId="150" dataCellStyle="Normal">
      <calculatedColumnFormula>Table1123245[[#This Row],[a/d]]*Table1123245[[#This Row],[d]]</calculatedColumnFormula>
    </tableColumn>
    <tableColumn id="13" name="d (mm)" dataDxfId="149" dataCellStyle="Normal">
      <calculatedColumnFormula>Table1123245[[#This Row],[d]]</calculatedColumnFormula>
    </tableColumn>
    <tableColumn id="14" name="h (mm)" dataDxfId="148" dataCellStyle="Normal"/>
    <tableColumn id="15" name="b (mm)" dataDxfId="147" dataCellStyle="Normal">
      <calculatedColumnFormula>22.5*25.4</calculatedColumnFormula>
    </tableColumn>
    <tableColumn id="16" name="fc (Mpa)" dataDxfId="146" dataCellStyle="Normal"/>
    <tableColumn id="17" name="As (mm^2)" dataDxfId="145" dataCellStyle="Normal">
      <calculatedColumnFormula>Table1123245[[#This Row],[pho (%)]]/100*Table1123245[[#This Row],[b (mm)]]*Table1123245[[#This Row],[d (mm)]]</calculatedColumnFormula>
    </tableColumn>
    <tableColumn id="18" name="pho (%)" dataDxfId="144" dataCellStyle="Normal">
      <calculatedColumnFormula>AG2/(Table1123245[[#This Row],[b (mm)]]*AC2)*100</calculatedColumnFormula>
    </tableColumn>
    <tableColumn id="19" name="fy (Mpa)" dataDxfId="143" dataCellStyle="Normal"/>
    <tableColumn id="23" name="J(mm^4)" dataDxfId="142" dataCellStyle="Normal">
      <calculatedColumnFormula>(1/3-0.21*(MIN(Table1123245[[#This Row],[b (mm)]],AD2)/MAX(Table1123245[[#This Row],[b (mm)]],AD2))*(MIN(Table1123245[[#This Row],[b (mm)]],AD2)^4/(12*MAX(Table1123245[[#This Row],[b (mm)]],AD2)^4)))*MAX(Table1123245[[#This Row],[b (mm)]],AD2)*MIN(Table1123245[[#This Row],[b (mm)]],AD2)^3</calculatedColumnFormula>
    </tableColumn>
    <tableColumn id="24" name="I (mm^4)" dataDxfId="141" dataCellStyle="Normal">
      <calculatedColumnFormula>Table1123245[[#This Row],[b (mm)]]*AD2^3/12</calculatedColumnFormula>
    </tableColumn>
    <tableColumn id="25" name="L(mm)" dataDxfId="140" dataCellStyle="Normal"/>
    <tableColumn id="26" name="Column1" dataDxfId="139" dataCellStyle="Normal"/>
    <tableColumn id="27" name="Column2" dataDxfId="138" dataCellStyle="Normal"/>
    <tableColumn id="30" name="Column3" dataDxfId="137"/>
    <tableColumn id="37" name="Column4" dataDxfId="13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11232456" displayName="Table11232456" ref="A1:AP98" totalsRowShown="0" headerRowDxfId="135" dataDxfId="134" tableBorderDxfId="133">
  <autoFilter ref="A1:AP98"/>
  <sortState ref="A2:T57">
    <sortCondition ref="A1:A57"/>
  </sortState>
  <tableColumns count="42">
    <tableColumn id="1" name="Image Seri" dataDxfId="132"/>
    <tableColumn id="20" name="Image Name" dataDxfId="131" dataCellStyle="Normal"/>
    <tableColumn id="2" name="Final Image name" dataDxfId="130" dataCellStyle="Normal"/>
    <tableColumn id="3" name="a/d" dataDxfId="129" dataCellStyle="Normal">
      <calculatedColumnFormula>Table11232456[[#This Row],[a (mm)]]/Table11232456[[#This Row],[d (mm)]]</calculatedColumnFormula>
    </tableColumn>
    <tableColumn id="4" name="V (KN)" dataDxfId="128" dataCellStyle="Normal"/>
    <tableColumn id="5" name="d" dataDxfId="127" dataCellStyle="Normal">
      <calculatedColumnFormula>Table11232456[[#This Row],[d (mm)]]</calculatedColumnFormula>
    </tableColumn>
    <tableColumn id="6" name="M (KN.mm)" dataDxfId="126" dataCellStyle="Normal">
      <calculatedColumnFormula>E2*AB2</calculatedColumnFormula>
    </tableColumn>
    <tableColumn id="7" name="M/EI" dataDxfId="125" dataCellStyle="Normal">
      <calculatedColumnFormula>G2/($AN$5*AK2*0.001)</calculatedColumnFormula>
    </tableColumn>
    <tableColumn id="8" name="M/bd^2" dataDxfId="124" dataCellStyle="Normal">
      <calculatedColumnFormula>G2/(Table11232456[[#This Row],[b (mm)]]*AC2^2)</calculatedColumnFormula>
    </tableColumn>
    <tableColumn id="9" name="M/(As fy d)" dataDxfId="123" dataCellStyle="Normal">
      <calculatedColumnFormula>G2/(AG2*AI2*AC2*0.001)</calculatedColumnFormula>
    </tableColumn>
    <tableColumn id="10" name="V/(GJ)" dataDxfId="122" dataCellStyle="Normal">
      <calculatedColumnFormula>E2/($AN$4*AJ2*0.001)</calculatedColumnFormula>
    </tableColumn>
    <tableColumn id="11" name="V/(bd)" dataDxfId="121" dataCellStyle="Normal">
      <calculatedColumnFormula>E2/(Table11232456[[#This Row],[b (mm)]]*AC2)</calculatedColumnFormula>
    </tableColumn>
    <tableColumn id="21" name="M/(bd)" dataDxfId="120" dataCellStyle="Normal">
      <calculatedColumnFormula>Table11232456[[#This Row],[M (KN.mm)]]/(Table11232456[[#This Row],[b (mm)]]*Table11232456[[#This Row],[d (mm)]])</calculatedColumnFormula>
    </tableColumn>
    <tableColumn id="22" name="M/bh" dataDxfId="119" dataCellStyle="Normal">
      <calculatedColumnFormula>Table11232456[[#This Row],[M (KN.mm)]]/(Table11232456[[#This Row],[b (mm)]]*Table11232456[[#This Row],[h (mm)]])</calculatedColumnFormula>
    </tableColumn>
    <tableColumn id="28" name="M/(bhl)" dataDxfId="118">
      <calculatedColumnFormula>Table11232456[[#This Row],[M (KN.mm)]]/(Table11232456[[#This Row],[b (mm)]]*Table11232456[[#This Row],[h (mm)]]*Table11232456[[#This Row],[L(mm)]])</calculatedColumnFormula>
    </tableColumn>
    <tableColumn id="29" name="M/(bdl)" dataDxfId="117">
      <calculatedColumnFormula>Table11232456[[#This Row],[M (KN.mm)]]/(Table11232456[[#This Row],[b (mm)]]*Table11232456[[#This Row],[d (mm)]]*Table11232456[[#This Row],[L(mm)]])</calculatedColumnFormula>
    </tableColumn>
    <tableColumn id="31" name="M/(fc bhl)" dataDxfId="116">
      <calculatedColumnFormula>Table11232456[[#This Row],[M (KN.mm)]]/(Table11232456[[#This Row],[b (mm)]]*Table11232456[[#This Row],[h (mm)]]*Table11232456[[#This Row],[L(mm)]]*Table11232456[[#This Row],[fc (Mpa)]])</calculatedColumnFormula>
    </tableColumn>
    <tableColumn id="32" name="M/(bh (l/2))" dataDxfId="115">
      <calculatedColumnFormula>Table11232456[[#This Row],[M (KN.mm)]]/(Table11232456[[#This Row],[b (mm)]]*Table11232456[[#This Row],[h (mm)]]*Table11232456[[#This Row],[L(mm)]]/2)</calculatedColumnFormula>
    </tableColumn>
    <tableColumn id="33" name="M/(abh (l/2))" dataDxfId="114">
      <calculatedColumnFormula>Table11232456[[#This Row],[M (KN.mm)]]/(Table11232456[[#This Row],[a (mm)]]*Table11232456[[#This Row],[b (mm)]]*Table11232456[[#This Row],[h (mm)]]*Table11232456[[#This Row],[L(mm)]]/2)</calculatedColumnFormula>
    </tableColumn>
    <tableColumn id="34" name="M/(rho  EI)" dataDxfId="113">
      <calculatedColumnFormula>Table11232456[[#This Row],[M (KN.mm)]]/(Table11232456[[#This Row],[a (mm)]]^2*Table11232456[[#This Row],[b (mm)]]*Table11232456[[#This Row],[h (mm)]])</calculatedColumnFormula>
    </tableColumn>
    <tableColumn id="35" name="M/(rho  bd)" dataDxfId="112">
      <calculatedColumnFormula>Table11232456[[#This Row],[M (KN.mm)]]/(Table11232456[[#This Row],[b (mm)]]*Table11232456[[#This Row],[d (mm)]]*Table11232456[[#This Row],[pho (%)]])</calculatedColumnFormula>
    </tableColumn>
    <tableColumn id="38" name="V/(2*sqrt(fc) bd)" dataDxfId="111">
      <calculatedColumnFormula>E2*224.8/(2*SQRT(Table11232456[[#This Row],[fc (Mpa)]]*145.037)*Table11232456[[#This Row],[b (mm)]]*Table11232456[[#This Row],[d (mm)]]*(1/25.4)^2)</calculatedColumnFormula>
    </tableColumn>
    <tableColumn id="36" name="M/M_fracture" dataDxfId="110">
      <calculatedColumnFormula>Table11232456[[#This Row],[M (KN.mm)]]/$G$17</calculatedColumnFormula>
    </tableColumn>
    <tableColumn id="39" name="V/(2 sqrt(fc) bd+Av fy d/s )" dataDxfId="109">
      <calculatedColumnFormula>E2*224.8/(2*SQRT(Table11232456[[#This Row],[fc (Mpa)]]*145.037)*Table11232456[[#This Row],[b (mm)]]*Table11232456[[#This Row],[d (mm)]]*(1/25.4)^2+Table11232456[[#This Row],[Av fy d/s (N)]]*0.2248)</calculatedColumnFormula>
    </tableColumn>
    <tableColumn id="40" name="Av fy/(b S) (Mpa)" dataDxfId="108"/>
    <tableColumn id="41" name="Av fy d/s (N)" dataDxfId="107">
      <calculatedColumnFormula>Table11232456[[#This Row],[Av fy/(b S) (Mpa)]]*Table11232456[[#This Row],[d (mm)]]*Table11232456[[#This Row],[b (mm)]]</calculatedColumnFormula>
    </tableColumn>
    <tableColumn id="42" name="d/s" dataDxfId="106">
      <calculatedColumnFormula>Table11232456[[#This Row],[d (mm)]]/1350</calculatedColumnFormula>
    </tableColumn>
    <tableColumn id="12" name="a (mm)" dataDxfId="105" dataCellStyle="Normal">
      <calculatedColumnFormula>Table11232456[[#This Row],[a/d]]*Table11232456[[#This Row],[d]]</calculatedColumnFormula>
    </tableColumn>
    <tableColumn id="13" name="d (mm)" dataDxfId="104" dataCellStyle="Normal">
      <calculatedColumnFormula>Table11232456[[#This Row],[d]]</calculatedColumnFormula>
    </tableColumn>
    <tableColumn id="14" name="h (mm)" dataDxfId="103" dataCellStyle="Normal"/>
    <tableColumn id="15" name="b (mm)" dataDxfId="102" dataCellStyle="Normal">
      <calculatedColumnFormula>22.5*25.4</calculatedColumnFormula>
    </tableColumn>
    <tableColumn id="16" name="fc (Mpa)" dataDxfId="101" dataCellStyle="Normal"/>
    <tableColumn id="17" name="As (mm^2)" dataDxfId="100" dataCellStyle="Normal">
      <calculatedColumnFormula>Table11232456[[#This Row],[pho (%)]]/100*Table11232456[[#This Row],[b (mm)]]*Table11232456[[#This Row],[d (mm)]]</calculatedColumnFormula>
    </tableColumn>
    <tableColumn id="18" name="pho (%)" dataDxfId="99" dataCellStyle="Normal">
      <calculatedColumnFormula>AG2/(Table11232456[[#This Row],[b (mm)]]*AC2)*100</calculatedColumnFormula>
    </tableColumn>
    <tableColumn id="19" name="fy (Mpa)" dataDxfId="98" dataCellStyle="Normal"/>
    <tableColumn id="23" name="J(mm^4)" dataDxfId="97" dataCellStyle="Normal">
      <calculatedColumnFormula>(1/3-0.21*(MIN(Table11232456[[#This Row],[b (mm)]],AD2)/MAX(Table11232456[[#This Row],[b (mm)]],AD2))*(MIN(Table11232456[[#This Row],[b (mm)]],AD2)^4/(12*MAX(Table11232456[[#This Row],[b (mm)]],AD2)^4)))*MAX(Table11232456[[#This Row],[b (mm)]],AD2)*MIN(Table11232456[[#This Row],[b (mm)]],AD2)^3</calculatedColumnFormula>
    </tableColumn>
    <tableColumn id="24" name="I (mm^4)" dataDxfId="96" dataCellStyle="Normal">
      <calculatedColumnFormula>Table11232456[[#This Row],[b (mm)]]*AD2^3/12</calculatedColumnFormula>
    </tableColumn>
    <tableColumn id="25" name="L(mm)" dataDxfId="95" dataCellStyle="Normal">
      <calculatedColumnFormula>2*Table11232456[[#This Row],[a (mm)]]</calculatedColumnFormula>
    </tableColumn>
    <tableColumn id="26" name="Column1" dataDxfId="94" dataCellStyle="Normal"/>
    <tableColumn id="27" name="Column2" dataDxfId="93" dataCellStyle="Normal"/>
    <tableColumn id="30" name="Column3" dataDxfId="92"/>
    <tableColumn id="37" name="Column4" dataDxfId="9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112324567" displayName="Table112324567" ref="A1:AP98" totalsRowShown="0" headerRowDxfId="90" dataDxfId="89" tableBorderDxfId="88">
  <autoFilter ref="A1:AP98"/>
  <sortState ref="A2:T57">
    <sortCondition ref="A1:A57"/>
  </sortState>
  <tableColumns count="42">
    <tableColumn id="1" name="Image Seri" dataDxfId="87"/>
    <tableColumn id="20" name="Image Name" dataDxfId="86" dataCellStyle="Normal"/>
    <tableColumn id="2" name="Final Image name" dataDxfId="85" dataCellStyle="Normal"/>
    <tableColumn id="3" name="a/d" dataDxfId="84" dataCellStyle="Normal">
      <calculatedColumnFormula>Table112324567[[#This Row],[a (mm)]]/Table112324567[[#This Row],[d (mm)]]</calculatedColumnFormula>
    </tableColumn>
    <tableColumn id="4" name="V (KN)" dataDxfId="83" dataCellStyle="Normal"/>
    <tableColumn id="5" name="d" dataDxfId="82" dataCellStyle="Normal">
      <calculatedColumnFormula>Table112324567[[#This Row],[d (mm)]]</calculatedColumnFormula>
    </tableColumn>
    <tableColumn id="6" name="M (KN.mm)" dataDxfId="81" dataCellStyle="Normal">
      <calculatedColumnFormula>E2*AB2</calculatedColumnFormula>
    </tableColumn>
    <tableColumn id="7" name="M/EI" dataDxfId="80" dataCellStyle="Normal">
      <calculatedColumnFormula>G2/($AN$5*AK2*0.001)</calculatedColumnFormula>
    </tableColumn>
    <tableColumn id="8" name="M/bd^2" dataDxfId="79" dataCellStyle="Normal">
      <calculatedColumnFormula>G2/(Table112324567[[#This Row],[b (mm)]]*AC2^2)</calculatedColumnFormula>
    </tableColumn>
    <tableColumn id="9" name="M/(As fy d)" dataDxfId="78" dataCellStyle="Normal">
      <calculatedColumnFormula>G2/(AG2*AI2*AC2*0.001)</calculatedColumnFormula>
    </tableColumn>
    <tableColumn id="10" name="V/(GJ)" dataDxfId="77" dataCellStyle="Normal">
      <calculatedColumnFormula>E2/($AN$4*AJ2*0.001)</calculatedColumnFormula>
    </tableColumn>
    <tableColumn id="11" name="V/(bd)" dataDxfId="76" dataCellStyle="Normal">
      <calculatedColumnFormula>E2/(Table112324567[[#This Row],[b (mm)]]*AC2)</calculatedColumnFormula>
    </tableColumn>
    <tableColumn id="21" name="M/(bd)" dataDxfId="75" dataCellStyle="Normal">
      <calculatedColumnFormula>Table112324567[[#This Row],[M (KN.mm)]]/(Table112324567[[#This Row],[b (mm)]]*Table112324567[[#This Row],[d (mm)]])</calculatedColumnFormula>
    </tableColumn>
    <tableColumn id="22" name="M/bh" dataDxfId="74" dataCellStyle="Normal">
      <calculatedColumnFormula>Table112324567[[#This Row],[M (KN.mm)]]/(Table112324567[[#This Row],[b (mm)]]*Table112324567[[#This Row],[h (mm)]])</calculatedColumnFormula>
    </tableColumn>
    <tableColumn id="28" name="M/(bhl)" dataDxfId="73">
      <calculatedColumnFormula>Table112324567[[#This Row],[M (KN.mm)]]/(Table112324567[[#This Row],[b (mm)]]*Table112324567[[#This Row],[h (mm)]]*Table112324567[[#This Row],[L(mm)]])</calculatedColumnFormula>
    </tableColumn>
    <tableColumn id="29" name="M/(bdl)" dataDxfId="72">
      <calculatedColumnFormula>Table112324567[[#This Row],[M (KN.mm)]]/(Table112324567[[#This Row],[b (mm)]]*Table112324567[[#This Row],[d (mm)]]*Table112324567[[#This Row],[L(mm)]])</calculatedColumnFormula>
    </tableColumn>
    <tableColumn id="31" name="M/(fc bhl)" dataDxfId="71">
      <calculatedColumnFormula>Table112324567[[#This Row],[M (KN.mm)]]/(Table112324567[[#This Row],[b (mm)]]*Table112324567[[#This Row],[h (mm)]]*Table112324567[[#This Row],[L(mm)]]*Table112324567[[#This Row],[fc (Mpa)]])</calculatedColumnFormula>
    </tableColumn>
    <tableColumn id="32" name="M/(bh (l/2))" dataDxfId="70">
      <calculatedColumnFormula>Table112324567[[#This Row],[M (KN.mm)]]/(Table112324567[[#This Row],[b (mm)]]*Table112324567[[#This Row],[h (mm)]]*Table112324567[[#This Row],[L(mm)]]/2)</calculatedColumnFormula>
    </tableColumn>
    <tableColumn id="33" name="M/(abh (l/2))" dataDxfId="69">
      <calculatedColumnFormula>Table112324567[[#This Row],[M (KN.mm)]]/(Table112324567[[#This Row],[a (mm)]]*Table112324567[[#This Row],[b (mm)]]*Table112324567[[#This Row],[h (mm)]]*Table112324567[[#This Row],[L(mm)]]/2)</calculatedColumnFormula>
    </tableColumn>
    <tableColumn id="34" name="M/(rho  EI)" dataDxfId="68">
      <calculatedColumnFormula>Table112324567[[#This Row],[M (KN.mm)]]/(Table112324567[[#This Row],[a (mm)]]^2*Table112324567[[#This Row],[b (mm)]]*Table112324567[[#This Row],[h (mm)]])</calculatedColumnFormula>
    </tableColumn>
    <tableColumn id="35" name="M/(rho  bd)" dataDxfId="67">
      <calculatedColumnFormula>Table112324567[[#This Row],[M (KN.mm)]]/(Table112324567[[#This Row],[b (mm)]]*Table112324567[[#This Row],[d (mm)]]*Table112324567[[#This Row],[pho (%)]])</calculatedColumnFormula>
    </tableColumn>
    <tableColumn id="38" name="V/(2*sqrt(fc) bd)" dataDxfId="66">
      <calculatedColumnFormula>E2*224.8/(2*SQRT(Table112324567[[#This Row],[fc (Mpa)]]*145.037)*Table112324567[[#This Row],[b (mm)]]*Table112324567[[#This Row],[d (mm)]]*(1/25.4)^2)</calculatedColumnFormula>
    </tableColumn>
    <tableColumn id="36" name="M/M_fracture" dataDxfId="65">
      <calculatedColumnFormula>Table112324567[[#This Row],[M (KN.mm)]]/$G$17</calculatedColumnFormula>
    </tableColumn>
    <tableColumn id="39" name="V/(2 sqrt(fc) bd+Av fy d/s )" dataDxfId="64">
      <calculatedColumnFormula>E2*224.8/(2*SQRT(Table112324567[[#This Row],[fc (Mpa)]]*145.037)*Table112324567[[#This Row],[b (mm)]]*Table112324567[[#This Row],[d (mm)]]*(1/25.4)^2+Table112324567[[#This Row],[Av fy d/s (N)]]*0.2248)</calculatedColumnFormula>
    </tableColumn>
    <tableColumn id="40" name="Av fy/(b S) (Mpa)" dataDxfId="63"/>
    <tableColumn id="41" name="Av fy d/s (N)" dataDxfId="62">
      <calculatedColumnFormula>Table112324567[[#This Row],[Av fy/(b S) (Mpa)]]*Table112324567[[#This Row],[d (mm)]]*Table112324567[[#This Row],[b (mm)]]</calculatedColumnFormula>
    </tableColumn>
    <tableColumn id="42" name="d/s" dataDxfId="61">
      <calculatedColumnFormula>Table112324567[[#This Row],[d (mm)]]/1350</calculatedColumnFormula>
    </tableColumn>
    <tableColumn id="12" name="a (mm)" dataDxfId="60" dataCellStyle="Normal">
      <calculatedColumnFormula>Table112324567[[#This Row],[a/d]]*Table112324567[[#This Row],[d]]</calculatedColumnFormula>
    </tableColumn>
    <tableColumn id="13" name="d (mm)" dataDxfId="59" dataCellStyle="Normal">
      <calculatedColumnFormula>Table112324567[[#This Row],[d]]</calculatedColumnFormula>
    </tableColumn>
    <tableColumn id="14" name="h (mm)" dataDxfId="58" dataCellStyle="Normal"/>
    <tableColumn id="15" name="b (mm)" dataDxfId="57" dataCellStyle="Normal">
      <calculatedColumnFormula>22.5*25.4</calculatedColumnFormula>
    </tableColumn>
    <tableColumn id="16" name="fc (Mpa)" dataDxfId="56" dataCellStyle="Normal"/>
    <tableColumn id="17" name="As (mm^2)" dataDxfId="55" dataCellStyle="Normal">
      <calculatedColumnFormula>Table112324567[[#This Row],[pho (%)]]/100*Table112324567[[#This Row],[b (mm)]]*Table112324567[[#This Row],[d (mm)]]</calculatedColumnFormula>
    </tableColumn>
    <tableColumn id="18" name="pho (%)" dataDxfId="54" dataCellStyle="Normal">
      <calculatedColumnFormula>AG2/(Table112324567[[#This Row],[b (mm)]]*AC2)*100</calculatedColumnFormula>
    </tableColumn>
    <tableColumn id="19" name="fy (Mpa)" dataDxfId="53" dataCellStyle="Normal"/>
    <tableColumn id="23" name="J(mm^4)" dataDxfId="52" dataCellStyle="Normal">
      <calculatedColumnFormula>(1/3-0.21*(MIN(Table112324567[[#This Row],[b (mm)]],AD2)/MAX(Table112324567[[#This Row],[b (mm)]],AD2))*(MIN(Table112324567[[#This Row],[b (mm)]],AD2)^4/(12*MAX(Table112324567[[#This Row],[b (mm)]],AD2)^4)))*MAX(Table112324567[[#This Row],[b (mm)]],AD2)*MIN(Table112324567[[#This Row],[b (mm)]],AD2)^3</calculatedColumnFormula>
    </tableColumn>
    <tableColumn id="24" name="I (mm^4)" dataDxfId="51" dataCellStyle="Normal">
      <calculatedColumnFormula>Table112324567[[#This Row],[b (mm)]]*AD2^3/12</calculatedColumnFormula>
    </tableColumn>
    <tableColumn id="25" name="L(mm)" dataDxfId="50" dataCellStyle="Normal">
      <calculatedColumnFormula>2*Table112324567[[#This Row],[a (mm)]]</calculatedColumnFormula>
    </tableColumn>
    <tableColumn id="26" name="Column1" dataDxfId="49" dataCellStyle="Normal"/>
    <tableColumn id="27" name="Column2" dataDxfId="48" dataCellStyle="Normal"/>
    <tableColumn id="30" name="Column3" dataDxfId="47"/>
    <tableColumn id="37" name="Column4" dataDxfId="4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1123245678" displayName="Table1123245678" ref="A1:AP98" totalsRowShown="0" headerRowDxfId="45" dataDxfId="44" tableBorderDxfId="43">
  <autoFilter ref="A1:AP98"/>
  <sortState ref="A2:T57">
    <sortCondition ref="A1:A57"/>
  </sortState>
  <tableColumns count="42">
    <tableColumn id="1" name="Image Seri" dataDxfId="42"/>
    <tableColumn id="20" name="Image Name" dataDxfId="41" dataCellStyle="Normal"/>
    <tableColumn id="2" name="Final Image name" dataDxfId="40" dataCellStyle="Normal"/>
    <tableColumn id="3" name="a/d" dataDxfId="39" dataCellStyle="Normal">
      <calculatedColumnFormula>Table1123245678[[#This Row],[a (mm)]]/Table1123245678[[#This Row],[d (mm)]]</calculatedColumnFormula>
    </tableColumn>
    <tableColumn id="4" name="V (KN)" dataDxfId="38" dataCellStyle="Normal"/>
    <tableColumn id="5" name="d" dataDxfId="37" dataCellStyle="Normal">
      <calculatedColumnFormula>Table1123245678[[#This Row],[d (mm)]]</calculatedColumnFormula>
    </tableColumn>
    <tableColumn id="6" name="M (KN.mm)" dataDxfId="36" dataCellStyle="Normal">
      <calculatedColumnFormula>E2*AB2</calculatedColumnFormula>
    </tableColumn>
    <tableColumn id="7" name="M/EI" dataDxfId="35" dataCellStyle="Normal">
      <calculatedColumnFormula>G2/($AN$5*AK2*0.001)</calculatedColumnFormula>
    </tableColumn>
    <tableColumn id="8" name="M/bd^2" dataDxfId="34" dataCellStyle="Normal">
      <calculatedColumnFormula>G2/(Table1123245678[[#This Row],[b (mm)]]*AC2^2)</calculatedColumnFormula>
    </tableColumn>
    <tableColumn id="9" name="M/(As fy d)" dataDxfId="33" dataCellStyle="Normal">
      <calculatedColumnFormula>G2/(AG2*AI2*AC2*0.001)</calculatedColumnFormula>
    </tableColumn>
    <tableColumn id="10" name="V/(GJ)" dataDxfId="32" dataCellStyle="Normal">
      <calculatedColumnFormula>E2/($AN$4*AJ2*0.001)</calculatedColumnFormula>
    </tableColumn>
    <tableColumn id="11" name="V/(bd)" dataDxfId="31" dataCellStyle="Normal">
      <calculatedColumnFormula>E2/(Table1123245678[[#This Row],[b (mm)]]*AC2)</calculatedColumnFormula>
    </tableColumn>
    <tableColumn id="21" name="M/(bd)" dataDxfId="30" dataCellStyle="Normal">
      <calculatedColumnFormula>Table1123245678[[#This Row],[M (KN.mm)]]/(Table1123245678[[#This Row],[b (mm)]]*Table1123245678[[#This Row],[d (mm)]])</calculatedColumnFormula>
    </tableColumn>
    <tableColumn id="22" name="M/bh" dataDxfId="29" dataCellStyle="Normal">
      <calculatedColumnFormula>Table1123245678[[#This Row],[M (KN.mm)]]/(Table1123245678[[#This Row],[b (mm)]]*Table1123245678[[#This Row],[h (mm)]])</calculatedColumnFormula>
    </tableColumn>
    <tableColumn id="28" name="M/(bhl)" dataDxfId="28">
      <calculatedColumnFormula>Table1123245678[[#This Row],[M (KN.mm)]]/(Table1123245678[[#This Row],[b (mm)]]*Table1123245678[[#This Row],[h (mm)]]*Table1123245678[[#This Row],[L(mm)]])</calculatedColumnFormula>
    </tableColumn>
    <tableColumn id="29" name="M/(bdl)" dataDxfId="27">
      <calculatedColumnFormula>Table1123245678[[#This Row],[M (KN.mm)]]/(Table1123245678[[#This Row],[b (mm)]]*Table1123245678[[#This Row],[d (mm)]]*Table1123245678[[#This Row],[L(mm)]])</calculatedColumnFormula>
    </tableColumn>
    <tableColumn id="31" name="M/(fc bhl)" dataDxfId="26">
      <calculatedColumnFormula>Table1123245678[[#This Row],[M (KN.mm)]]/(Table1123245678[[#This Row],[b (mm)]]*Table1123245678[[#This Row],[h (mm)]]*Table1123245678[[#This Row],[L(mm)]]*Table1123245678[[#This Row],[fc (Mpa)]])</calculatedColumnFormula>
    </tableColumn>
    <tableColumn id="32" name="M/(bh (l/2))" dataDxfId="25">
      <calculatedColumnFormula>Table1123245678[[#This Row],[M (KN.mm)]]/(Table1123245678[[#This Row],[b (mm)]]*Table1123245678[[#This Row],[h (mm)]]*Table1123245678[[#This Row],[L(mm)]]/2)</calculatedColumnFormula>
    </tableColumn>
    <tableColumn id="33" name="M/(abh (l/2))" dataDxfId="24">
      <calculatedColumnFormula>Table1123245678[[#This Row],[M (KN.mm)]]/(Table1123245678[[#This Row],[a (mm)]]*Table1123245678[[#This Row],[b (mm)]]*Table1123245678[[#This Row],[h (mm)]]*Table1123245678[[#This Row],[L(mm)]]/2)</calculatedColumnFormula>
    </tableColumn>
    <tableColumn id="34" name="M/(rho  EI)" dataDxfId="23">
      <calculatedColumnFormula>Table1123245678[[#This Row],[M (KN.mm)]]/(Table1123245678[[#This Row],[a (mm)]]^2*Table1123245678[[#This Row],[b (mm)]]*Table1123245678[[#This Row],[h (mm)]])</calculatedColumnFormula>
    </tableColumn>
    <tableColumn id="35" name="M/(rho  bd)" dataDxfId="22">
      <calculatedColumnFormula>Table1123245678[[#This Row],[M (KN.mm)]]/(Table1123245678[[#This Row],[b (mm)]]*Table1123245678[[#This Row],[d (mm)]]*Table1123245678[[#This Row],[pho (%)]])</calculatedColumnFormula>
    </tableColumn>
    <tableColumn id="38" name="V/(2*sqrt(fc) bd)" dataDxfId="21">
      <calculatedColumnFormula>E2*224.8/(2*SQRT(Table1123245678[[#This Row],[fc (Mpa)]]*145.037)*Table1123245678[[#This Row],[b (mm)]]*Table1123245678[[#This Row],[d (mm)]]*(1/25.4)^2)</calculatedColumnFormula>
    </tableColumn>
    <tableColumn id="36" name="M/M_fracture" dataDxfId="20">
      <calculatedColumnFormula>Table1123245678[[#This Row],[M (KN.mm)]]/$G$17</calculatedColumnFormula>
    </tableColumn>
    <tableColumn id="39" name="V/(2 sqrt(fc) bd+Av fy d/s )" dataDxfId="19">
      <calculatedColumnFormula>E2*224.8/(2*SQRT(Table1123245678[[#This Row],[fc (Mpa)]]*145.037)*Table1123245678[[#This Row],[b (mm)]]*Table1123245678[[#This Row],[d (mm)]]*(1/25.4)^2+Table1123245678[[#This Row],[Av fy d/s (N)]]*0.2248)</calculatedColumnFormula>
    </tableColumn>
    <tableColumn id="40" name="Av fy/(b S) (Mpa)" dataDxfId="18"/>
    <tableColumn id="41" name="Av fy d/s (N)" dataDxfId="17">
      <calculatedColumnFormula>Table1123245678[[#This Row],[Av fy/(b S) (Mpa)]]*Table1123245678[[#This Row],[d (mm)]]*Table1123245678[[#This Row],[b (mm)]]</calculatedColumnFormula>
    </tableColumn>
    <tableColumn id="42" name="d/s" dataDxfId="16">
      <calculatedColumnFormula>Table1123245678[[#This Row],[d (mm)]]/1350</calculatedColumnFormula>
    </tableColumn>
    <tableColumn id="12" name="a (mm)" dataDxfId="15" dataCellStyle="Normal">
      <calculatedColumnFormula>Table1123245678[[#This Row],[a/d]]*Table1123245678[[#This Row],[d]]</calculatedColumnFormula>
    </tableColumn>
    <tableColumn id="13" name="d (mm)" dataDxfId="14" dataCellStyle="Normal">
      <calculatedColumnFormula>Table1123245678[[#This Row],[d]]</calculatedColumnFormula>
    </tableColumn>
    <tableColumn id="14" name="h (mm)" dataDxfId="13" dataCellStyle="Normal"/>
    <tableColumn id="15" name="b (mm)" dataDxfId="12" dataCellStyle="Normal">
      <calculatedColumnFormula>22.5*25.4</calculatedColumnFormula>
    </tableColumn>
    <tableColumn id="16" name="fc (Mpa)" dataDxfId="11" dataCellStyle="Normal"/>
    <tableColumn id="17" name="As (mm^2)" dataDxfId="10" dataCellStyle="Normal">
      <calculatedColumnFormula>Table1123245678[[#This Row],[pho (%)]]/100*Table1123245678[[#This Row],[b (mm)]]*Table1123245678[[#This Row],[d (mm)]]</calculatedColumnFormula>
    </tableColumn>
    <tableColumn id="18" name="pho (%)" dataDxfId="9" dataCellStyle="Normal">
      <calculatedColumnFormula>AG2/(Table1123245678[[#This Row],[b (mm)]]*AC2)*100</calculatedColumnFormula>
    </tableColumn>
    <tableColumn id="19" name="fy (Mpa)" dataDxfId="8" dataCellStyle="Normal"/>
    <tableColumn id="23" name="J(mm^4)" dataDxfId="7" dataCellStyle="Normal">
      <calculatedColumnFormula>(1/3-0.21*(MIN(Table1123245678[[#This Row],[b (mm)]],AD2)/MAX(Table1123245678[[#This Row],[b (mm)]],AD2))*(MIN(Table1123245678[[#This Row],[b (mm)]],AD2)^4/(12*MAX(Table1123245678[[#This Row],[b (mm)]],AD2)^4)))*MAX(Table1123245678[[#This Row],[b (mm)]],AD2)*MIN(Table1123245678[[#This Row],[b (mm)]],AD2)^3</calculatedColumnFormula>
    </tableColumn>
    <tableColumn id="24" name="I (mm^4)" dataDxfId="6" dataCellStyle="Normal">
      <calculatedColumnFormula>Table1123245678[[#This Row],[b (mm)]]*AD2^3/12</calculatedColumnFormula>
    </tableColumn>
    <tableColumn id="25" name="L(mm)" dataDxfId="5" dataCellStyle="Normal">
      <calculatedColumnFormula>2*Table1123245678[[#This Row],[a (mm)]]</calculatedColumnFormula>
    </tableColumn>
    <tableColumn id="26" name="Column1" dataDxfId="4" dataCellStyle="Normal"/>
    <tableColumn id="27" name="Column2" dataDxfId="3" dataCellStyle="Normal"/>
    <tableColumn id="30" name="Column3" dataDxfId="2"/>
    <tableColumn id="37" name="Column4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Q98"/>
  <sheetViews>
    <sheetView zoomScaleNormal="100" workbookViewId="0">
      <selection activeCell="T1" sqref="T1"/>
    </sheetView>
  </sheetViews>
  <sheetFormatPr defaultRowHeight="15" x14ac:dyDescent="0.25"/>
  <cols>
    <col min="1" max="1" width="10.7109375" style="2" customWidth="1"/>
    <col min="2" max="2" width="7" style="2" customWidth="1"/>
    <col min="3" max="3" width="7.42578125" style="2" customWidth="1"/>
    <col min="4" max="4" width="15" style="2" customWidth="1"/>
    <col min="5" max="5" width="10.85546875" style="2" customWidth="1"/>
    <col min="6" max="6" width="12.85546875" style="2" customWidth="1"/>
    <col min="7" max="7" width="12" style="2" customWidth="1"/>
    <col min="8" max="8" width="10.5703125" style="2" customWidth="1"/>
    <col min="9" max="9" width="10.85546875" style="2" customWidth="1"/>
    <col min="10" max="10" width="13.140625" style="2" customWidth="1"/>
    <col min="11" max="11" width="8.85546875" style="2" customWidth="1"/>
    <col min="12" max="12" width="8.42578125" style="2" customWidth="1"/>
    <col min="13" max="17" width="10" style="2" customWidth="1"/>
    <col min="18" max="21" width="14.7109375" style="2" customWidth="1"/>
    <col min="22" max="22" width="17.42578125" style="2" customWidth="1"/>
    <col min="23" max="23" width="17.85546875" style="2" customWidth="1"/>
    <col min="24" max="24" width="21.28515625" style="2" customWidth="1"/>
    <col min="25" max="27" width="17.85546875" style="2" customWidth="1"/>
    <col min="28" max="28" width="9.42578125" style="2" customWidth="1"/>
    <col min="29" max="30" width="9.5703125" style="2" customWidth="1"/>
    <col min="31" max="31" width="10.7109375" style="2" customWidth="1"/>
    <col min="32" max="32" width="9.85546875" style="2" customWidth="1"/>
    <col min="33" max="33" width="12.5703125" style="2" customWidth="1"/>
    <col min="34" max="34" width="11.7109375" style="2" customWidth="1"/>
    <col min="35" max="35" width="11" style="2" customWidth="1"/>
    <col min="36" max="36" width="12.42578125" style="2" customWidth="1"/>
    <col min="37" max="38" width="14.28515625" style="2" customWidth="1"/>
    <col min="39" max="39" width="15.28515625" style="2" customWidth="1"/>
    <col min="40" max="40" width="15.7109375" style="2" customWidth="1"/>
    <col min="41" max="42" width="9.140625" style="1"/>
    <col min="43" max="16384" width="9.140625" style="2"/>
  </cols>
  <sheetData>
    <row r="1" spans="1:42" ht="80.25" customHeight="1" x14ac:dyDescent="0.25">
      <c r="A1" s="4" t="s">
        <v>25</v>
      </c>
      <c r="B1" s="4" t="s">
        <v>23</v>
      </c>
      <c r="C1" s="4" t="s">
        <v>24</v>
      </c>
      <c r="D1" s="4" t="s">
        <v>40</v>
      </c>
      <c r="E1" s="3" t="s">
        <v>19</v>
      </c>
      <c r="F1" s="4" t="s">
        <v>26</v>
      </c>
      <c r="G1" s="3" t="s">
        <v>18</v>
      </c>
      <c r="H1" s="3" t="s">
        <v>0</v>
      </c>
      <c r="I1" s="3" t="s">
        <v>9</v>
      </c>
      <c r="J1" s="3" t="s">
        <v>10</v>
      </c>
      <c r="K1" s="3" t="s">
        <v>16</v>
      </c>
      <c r="L1" s="3" t="s">
        <v>15</v>
      </c>
      <c r="M1" s="3" t="s">
        <v>21</v>
      </c>
      <c r="N1" s="3" t="s">
        <v>22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158</v>
      </c>
      <c r="U1" s="3" t="s">
        <v>157</v>
      </c>
      <c r="V1" s="3" t="s">
        <v>44</v>
      </c>
      <c r="W1" s="3" t="s">
        <v>39</v>
      </c>
      <c r="X1" s="26" t="s">
        <v>111</v>
      </c>
      <c r="Y1" s="26" t="s">
        <v>108</v>
      </c>
      <c r="Z1" s="26" t="s">
        <v>110</v>
      </c>
      <c r="AA1" s="55" t="s">
        <v>109</v>
      </c>
      <c r="AB1" s="3" t="s">
        <v>1</v>
      </c>
      <c r="AC1" s="3" t="s">
        <v>5</v>
      </c>
      <c r="AD1" s="3" t="s">
        <v>8</v>
      </c>
      <c r="AE1" s="3" t="s">
        <v>28</v>
      </c>
      <c r="AF1" s="3" t="s">
        <v>29</v>
      </c>
      <c r="AG1" s="3" t="s">
        <v>6</v>
      </c>
      <c r="AH1" s="3" t="s">
        <v>7</v>
      </c>
      <c r="AI1" s="3" t="s">
        <v>14</v>
      </c>
      <c r="AJ1" s="3" t="s">
        <v>11</v>
      </c>
      <c r="AK1" s="3" t="s">
        <v>13</v>
      </c>
      <c r="AL1" s="3" t="s">
        <v>30</v>
      </c>
      <c r="AM1" s="1" t="s">
        <v>20</v>
      </c>
      <c r="AN1" s="1" t="s">
        <v>27</v>
      </c>
      <c r="AO1" s="1" t="s">
        <v>32</v>
      </c>
      <c r="AP1" s="1" t="s">
        <v>37</v>
      </c>
    </row>
    <row r="2" spans="1:42" x14ac:dyDescent="0.25">
      <c r="A2" s="27" t="s">
        <v>131</v>
      </c>
      <c r="B2" s="27">
        <v>1</v>
      </c>
      <c r="C2" s="3">
        <v>1</v>
      </c>
      <c r="D2" s="3">
        <v>3.65</v>
      </c>
      <c r="E2" s="3">
        <v>93.5</v>
      </c>
      <c r="F2" s="3">
        <v>507</v>
      </c>
      <c r="G2" s="8">
        <f t="shared" ref="G2:G7" si="0">E2*AB2</f>
        <v>173026.42499999999</v>
      </c>
      <c r="H2" s="8">
        <f t="shared" ref="H2:H7" si="1">G2/($AN$5*AK2*0.001)</f>
        <v>3.2586742168009324E-7</v>
      </c>
      <c r="I2" s="8">
        <f>G2/(Table1123[[#This Row],[b (mm)]]*AC2^2)</f>
        <v>5.7433978902868374E-4</v>
      </c>
      <c r="J2" s="8">
        <f t="shared" ref="J2:J7" si="2">G2/(AG2*AI2*AC2*0.001)</f>
        <v>7.3520198288361982E-2</v>
      </c>
      <c r="K2" s="8">
        <f t="shared" ref="K2:K7" si="3">E2/($AN$4*AJ2*0.001)</f>
        <v>3.6987692221506786E-8</v>
      </c>
      <c r="L2" s="8">
        <f>E2/(Table1123[[#This Row],[b (mm)]]*AC2)</f>
        <v>1.5735336685717362E-4</v>
      </c>
      <c r="M2" s="8">
        <f>Table1123[[#This Row],[M (KN.mm)]]/(Table1123[[#This Row],[b (mm)]]*Table1123[[#This Row],[d (mm)]])</f>
        <v>0.29119027303754264</v>
      </c>
      <c r="N2" s="8">
        <f>Table1123[[#This Row],[M (KN.mm)]]/(Table1123[[#This Row],[b (mm)]]*Table1123[[#This Row],[h (mm)]])</f>
        <v>0.24980282306266349</v>
      </c>
      <c r="O2" s="8">
        <f>Table1123[[#This Row],[M (KN.mm)]]/(Table1123[[#This Row],[b (mm)]]*Table1123[[#This Row],[h (mm)]]*Table1123[[#This Row],[L(mm)]])</f>
        <v>6.7514276503422566E-5</v>
      </c>
      <c r="P2" s="8">
        <f>Table1123[[#This Row],[M (KN.mm)]]/(Table1123[[#This Row],[b (mm)]]*Table1123[[#This Row],[d (mm)]]*Table1123[[#This Row],[L(mm)]])</f>
        <v>7.8700073793930441E-5</v>
      </c>
      <c r="Q2" s="8">
        <f>Table1123[[#This Row],[M (KN.mm)]]/(Table1123[[#This Row],[b (mm)]]*Table1123[[#This Row],[h (mm)]]*Table1123[[#This Row],[L(mm)]]*Table1123[[#This Row],[fc (Mpa)]])</f>
        <v>1.7179205217155869E-6</v>
      </c>
      <c r="R2" s="8">
        <f>Table1123[[#This Row],[M (KN.mm)]]/(Table1123[[#This Row],[b (mm)]]*Table1123[[#This Row],[h (mm)]]*Table1123[[#This Row],[L(mm)]]/2)</f>
        <v>1.3502855300684513E-4</v>
      </c>
      <c r="S2" s="8">
        <f>Table1123[[#This Row],[M (KN.mm)]]/(Table1123[[#This Row],[a (mm)]]*Table1123[[#This Row],[b (mm)]]*Table1123[[#This Row],[h (mm)]]*Table1123[[#This Row],[L(mm)]]/2)</f>
        <v>7.2966714223795676E-8</v>
      </c>
      <c r="T2" s="8">
        <f>G2/($AN$5*AK2*0.001*Table1123[[#This Row],[pho (%)]])</f>
        <v>1.939687033810079E-7</v>
      </c>
      <c r="U2" s="8">
        <f>Table1123[[#This Row],[M (KN.mm)]]/(Table1123[[#This Row],[b (mm)]]*Table1123[[#This Row],[d (mm)]]*Table1123[[#This Row],[pho (%)]])</f>
        <v>0.17332754347472776</v>
      </c>
      <c r="V2" s="8">
        <f>E2*224.8/(2*SQRT(Table1123[[#This Row],[fc (Mpa)]]*145.037)*Table1123[[#This Row],[b (mm)]]*Table1123[[#This Row],[d (mm)]]*(1/25.4)^2)</f>
        <v>0.1511381510983556</v>
      </c>
      <c r="W2" s="8">
        <f>Table1123[[#This Row],[M (KN.mm)]]/$G$7</f>
        <v>0.12064516129032257</v>
      </c>
      <c r="X2" s="8">
        <f>E2*224.8/(2*SQRT(Table1123[[#This Row],[fc (Mpa)]]*145.037)*Table1123[[#This Row],[b (mm)]]*Table1123[[#This Row],[d (mm)]]*(1/25.4)^2+Table1123[[#This Row],[Av fy d/s (N)]]*0.2248)</f>
        <v>0.10118388872421402</v>
      </c>
      <c r="Y2" s="8">
        <v>0.51400000000000001</v>
      </c>
      <c r="Z2" s="8">
        <f>Table1123[[#This Row],[Av fy/(b S) (Mpa)]]*Table1123[[#This Row],[d (mm)]]*Table1123[[#This Row],[b (mm)]]</f>
        <v>305420.85600000003</v>
      </c>
      <c r="AA2" s="8">
        <f>Table1123[[#This Row],[d (mm)]]/300</f>
        <v>1.69</v>
      </c>
      <c r="AB2" s="8">
        <f>Table1123[[#This Row],[a/d]]*Table1123[[#This Row],[d]]</f>
        <v>1850.55</v>
      </c>
      <c r="AC2" s="8">
        <f>Table1123[[#This Row],[d]]</f>
        <v>507</v>
      </c>
      <c r="AD2" s="8">
        <v>591</v>
      </c>
      <c r="AE2" s="5">
        <v>1172</v>
      </c>
      <c r="AF2" s="5">
        <v>39.299999999999997</v>
      </c>
      <c r="AG2" s="8">
        <f>Table1123[[#This Row],[pho (%)]]/100*Table1123[[#This Row],[b (mm)]]*Table1123[[#This Row],[d (mm)]]</f>
        <v>9982.627199999999</v>
      </c>
      <c r="AH2" s="8">
        <v>1.68</v>
      </c>
      <c r="AI2" s="8">
        <v>465</v>
      </c>
      <c r="AJ2" s="8">
        <f>(1/3-0.21*(MIN(Table1123[[#This Row],[b (mm)]],AD2)/MAX(Table1123[[#This Row],[b (mm)]],AD2))*(MIN(Table1123[[#This Row],[b (mm)]],AD2)^4/(12*MAX(Table1123[[#This Row],[b (mm)]],AD2)^4)))*MAX(Table1123[[#This Row],[b (mm)]],AD2)*MIN(Table1123[[#This Row],[b (mm)]],AD2)^3</f>
        <v>80505347252.727905</v>
      </c>
      <c r="AK2" s="8">
        <f>Table1123[[#This Row],[b (mm)]]*AD2^3/12</f>
        <v>20160848601</v>
      </c>
      <c r="AL2" s="8">
        <v>3700</v>
      </c>
      <c r="AM2" s="12" t="s">
        <v>17</v>
      </c>
      <c r="AN2" s="6">
        <v>1250</v>
      </c>
    </row>
    <row r="3" spans="1:42" x14ac:dyDescent="0.25">
      <c r="A3" s="27" t="s">
        <v>131</v>
      </c>
      <c r="B3" s="27">
        <v>2</v>
      </c>
      <c r="C3" s="3">
        <v>2</v>
      </c>
      <c r="D3" s="3">
        <v>3.65</v>
      </c>
      <c r="E3" s="3">
        <v>250</v>
      </c>
      <c r="F3" s="3">
        <v>507</v>
      </c>
      <c r="G3" s="8">
        <f t="shared" si="0"/>
        <v>462637.5</v>
      </c>
      <c r="H3" s="8">
        <f t="shared" si="1"/>
        <v>8.7130326652431362E-7</v>
      </c>
      <c r="I3" s="8">
        <f>G3/(Table1123[[#This Row],[b (mm)]]*AC3^2)</f>
        <v>1.5356678851034325E-3</v>
      </c>
      <c r="J3" s="8">
        <f t="shared" si="2"/>
        <v>0.19657807028973792</v>
      </c>
      <c r="K3" s="8">
        <f t="shared" si="3"/>
        <v>9.8897572784777507E-8</v>
      </c>
      <c r="L3" s="8">
        <f>E3/(Table1123[[#This Row],[b (mm)]]*AC3)</f>
        <v>4.2073092742559793E-4</v>
      </c>
      <c r="M3" s="8">
        <f>Table1123[[#This Row],[M (KN.mm)]]/(Table1123[[#This Row],[b (mm)]]*Table1123[[#This Row],[d (mm)]])</f>
        <v>0.77858361774744023</v>
      </c>
      <c r="N3" s="8">
        <f>Table1123[[#This Row],[M (KN.mm)]]/(Table1123[[#This Row],[b (mm)]]*Table1123[[#This Row],[h (mm)]])</f>
        <v>0.66792198679856551</v>
      </c>
      <c r="O3" s="8">
        <f>Table1123[[#This Row],[M (KN.mm)]]/(Table1123[[#This Row],[b (mm)]]*Table1123[[#This Row],[h (mm)]]*Table1123[[#This Row],[L(mm)]])</f>
        <v>1.8051945589150421E-4</v>
      </c>
      <c r="P3" s="8">
        <f>Table1123[[#This Row],[M (KN.mm)]]/(Table1123[[#This Row],[b (mm)]]*Table1123[[#This Row],[d (mm)]]*Table1123[[#This Row],[L(mm)]])</f>
        <v>2.1042800479660547E-4</v>
      </c>
      <c r="Q3" s="8">
        <f>Table1123[[#This Row],[M (KN.mm)]]/(Table1123[[#This Row],[b (mm)]]*Table1123[[#This Row],[h (mm)]]*Table1123[[#This Row],[L(mm)]]*Table1123[[#This Row],[fc (Mpa)]])</f>
        <v>4.5933703789186816E-6</v>
      </c>
      <c r="R3" s="8">
        <f>Table1123[[#This Row],[M (KN.mm)]]/(Table1123[[#This Row],[b (mm)]]*Table1123[[#This Row],[h (mm)]]*Table1123[[#This Row],[L(mm)]]/2)</f>
        <v>3.6103891178300841E-4</v>
      </c>
      <c r="S3" s="8">
        <f>Table1123[[#This Row],[M (KN.mm)]]/(Table1123[[#This Row],[a (mm)]]*Table1123[[#This Row],[b (mm)]]*Table1123[[#This Row],[h (mm)]]*Table1123[[#This Row],[L(mm)]]/2)</f>
        <v>1.9509816637378525E-7</v>
      </c>
      <c r="T3" s="8">
        <f>G3/($AN$5*AK3*0.001*Table1123[[#This Row],[pho (%)]])</f>
        <v>5.1863289674066287E-7</v>
      </c>
      <c r="U3" s="8">
        <f>Table1123[[#This Row],[M (KN.mm)]]/(Table1123[[#This Row],[b (mm)]]*Table1123[[#This Row],[d (mm)]]*Table1123[[#This Row],[pho (%)]])</f>
        <v>0.46344262961157162</v>
      </c>
      <c r="V3" s="8">
        <f>E3*224.8/(2*SQRT(Table1123[[#This Row],[fc (Mpa)]]*145.037)*Table1123[[#This Row],[b (mm)]]*Table1123[[#This Row],[d (mm)]]*(1/25.4)^2)</f>
        <v>0.40411270347153905</v>
      </c>
      <c r="W3" s="8">
        <f>Table1123[[#This Row],[M (KN.mm)]]/$G$7</f>
        <v>0.32258064516129031</v>
      </c>
      <c r="X3" s="8">
        <f>E3*224.8/(2*SQRT(Table1123[[#This Row],[fc (Mpa)]]*145.037)*Table1123[[#This Row],[b (mm)]]*Table1123[[#This Row],[d (mm)]]*(1/25.4)^2+Table1123[[#This Row],[Av fy d/s (N)]]*0.2248)</f>
        <v>0.27054515701661502</v>
      </c>
      <c r="Y3" s="8">
        <v>0.51400000000000001</v>
      </c>
      <c r="Z3" s="8">
        <f>Table1123[[#This Row],[Av fy/(b S) (Mpa)]]*Table1123[[#This Row],[d (mm)]]*Table1123[[#This Row],[b (mm)]]</f>
        <v>305420.85600000003</v>
      </c>
      <c r="AA3" s="8">
        <f>Table1123[[#This Row],[d (mm)]]/300</f>
        <v>1.69</v>
      </c>
      <c r="AB3" s="8">
        <f>Table1123[[#This Row],[a/d]]*Table1123[[#This Row],[d]]</f>
        <v>1850.55</v>
      </c>
      <c r="AC3" s="8">
        <f>Table1123[[#This Row],[d]]</f>
        <v>507</v>
      </c>
      <c r="AD3" s="8">
        <v>591</v>
      </c>
      <c r="AE3" s="5">
        <v>1172</v>
      </c>
      <c r="AF3" s="5">
        <v>39.299999999999997</v>
      </c>
      <c r="AG3" s="8">
        <f>Table1123[[#This Row],[pho (%)]]/100*Table1123[[#This Row],[b (mm)]]*Table1123[[#This Row],[d (mm)]]</f>
        <v>9982.627199999999</v>
      </c>
      <c r="AH3" s="8">
        <v>1.68</v>
      </c>
      <c r="AI3" s="8">
        <v>465</v>
      </c>
      <c r="AJ3" s="8">
        <f>(1/3-0.21*(MIN(Table1123[[#This Row],[b (mm)]],AD3)/MAX(Table1123[[#This Row],[b (mm)]],AD3))*(MIN(Table1123[[#This Row],[b (mm)]],AD3)^4/(12*MAX(Table1123[[#This Row],[b (mm)]],AD3)^4)))*MAX(Table1123[[#This Row],[b (mm)]],AD3)*MIN(Table1123[[#This Row],[b (mm)]],AD3)^3</f>
        <v>80505347252.727905</v>
      </c>
      <c r="AK3" s="8">
        <f>Table1123[[#This Row],[b (mm)]]*AD3^3/12</f>
        <v>20160848601</v>
      </c>
      <c r="AL3" s="8">
        <v>3700</v>
      </c>
      <c r="AM3" s="12" t="s">
        <v>2</v>
      </c>
      <c r="AN3" s="6">
        <v>200</v>
      </c>
    </row>
    <row r="4" spans="1:42" x14ac:dyDescent="0.25">
      <c r="A4" s="27" t="s">
        <v>131</v>
      </c>
      <c r="B4" s="27">
        <v>3</v>
      </c>
      <c r="C4" s="3">
        <v>3</v>
      </c>
      <c r="D4" s="3">
        <v>3.65</v>
      </c>
      <c r="E4" s="3">
        <v>400</v>
      </c>
      <c r="F4" s="3">
        <v>507</v>
      </c>
      <c r="G4" s="8">
        <f t="shared" si="0"/>
        <v>740220</v>
      </c>
      <c r="H4" s="8">
        <f t="shared" si="1"/>
        <v>1.3940852264389017E-6</v>
      </c>
      <c r="I4" s="8">
        <f>G4/(Table1123[[#This Row],[b (mm)]]*AC4^2)</f>
        <v>2.4570686161654921E-3</v>
      </c>
      <c r="J4" s="8">
        <f t="shared" si="2"/>
        <v>0.31452491246358066</v>
      </c>
      <c r="K4" s="8">
        <f t="shared" si="3"/>
        <v>1.58236116455644E-7</v>
      </c>
      <c r="L4" s="8">
        <f>E4/(Table1123[[#This Row],[b (mm)]]*AC4)</f>
        <v>6.7316948388095673E-4</v>
      </c>
      <c r="M4" s="8">
        <f>Table1123[[#This Row],[M (KN.mm)]]/(Table1123[[#This Row],[b (mm)]]*Table1123[[#This Row],[d (mm)]])</f>
        <v>1.2457337883959045</v>
      </c>
      <c r="N4" s="8">
        <f>Table1123[[#This Row],[M (KN.mm)]]/(Table1123[[#This Row],[b (mm)]]*Table1123[[#This Row],[h (mm)]])</f>
        <v>1.0686751788777049</v>
      </c>
      <c r="O4" s="8">
        <f>Table1123[[#This Row],[M (KN.mm)]]/(Table1123[[#This Row],[b (mm)]]*Table1123[[#This Row],[h (mm)]]*Table1123[[#This Row],[L(mm)]])</f>
        <v>2.8883112942640668E-4</v>
      </c>
      <c r="P4" s="8">
        <f>Table1123[[#This Row],[M (KN.mm)]]/(Table1123[[#This Row],[b (mm)]]*Table1123[[#This Row],[d (mm)]]*Table1123[[#This Row],[L(mm)]])</f>
        <v>3.3668480767456879E-4</v>
      </c>
      <c r="Q4" s="8">
        <f>Table1123[[#This Row],[M (KN.mm)]]/(Table1123[[#This Row],[b (mm)]]*Table1123[[#This Row],[h (mm)]]*Table1123[[#This Row],[L(mm)]]*Table1123[[#This Row],[fc (Mpa)]])</f>
        <v>7.3493926062698909E-6</v>
      </c>
      <c r="R4" s="8">
        <f>Table1123[[#This Row],[M (KN.mm)]]/(Table1123[[#This Row],[b (mm)]]*Table1123[[#This Row],[h (mm)]]*Table1123[[#This Row],[L(mm)]]/2)</f>
        <v>5.7766225885281337E-4</v>
      </c>
      <c r="S4" s="8">
        <f>Table1123[[#This Row],[M (KN.mm)]]/(Table1123[[#This Row],[a (mm)]]*Table1123[[#This Row],[b (mm)]]*Table1123[[#This Row],[h (mm)]]*Table1123[[#This Row],[L(mm)]]/2)</f>
        <v>3.1215706619805643E-7</v>
      </c>
      <c r="T4" s="8">
        <f>G4/($AN$5*AK4*0.001*Table1123[[#This Row],[pho (%)]])</f>
        <v>8.2981263478506059E-7</v>
      </c>
      <c r="U4" s="8">
        <f>Table1123[[#This Row],[M (KN.mm)]]/(Table1123[[#This Row],[b (mm)]]*Table1123[[#This Row],[d (mm)]]*Table1123[[#This Row],[pho (%)]])</f>
        <v>0.74150820737851453</v>
      </c>
      <c r="V4" s="8">
        <f>E4*224.8/(2*SQRT(Table1123[[#This Row],[fc (Mpa)]]*145.037)*Table1123[[#This Row],[b (mm)]]*Table1123[[#This Row],[d (mm)]]*(1/25.4)^2)</f>
        <v>0.64658032555446243</v>
      </c>
      <c r="W4" s="8">
        <f>Table1123[[#This Row],[M (KN.mm)]]/$G$7</f>
        <v>0.5161290322580645</v>
      </c>
      <c r="X4" s="8">
        <f>E4*224.8/(2*SQRT(Table1123[[#This Row],[fc (Mpa)]]*145.037)*Table1123[[#This Row],[b (mm)]]*Table1123[[#This Row],[d (mm)]]*(1/25.4)^2+Table1123[[#This Row],[Av fy d/s (N)]]*0.2248)</f>
        <v>0.43287225122658407</v>
      </c>
      <c r="Y4" s="8">
        <v>0.51400000000000001</v>
      </c>
      <c r="Z4" s="8">
        <f>Table1123[[#This Row],[Av fy/(b S) (Mpa)]]*Table1123[[#This Row],[d (mm)]]*Table1123[[#This Row],[b (mm)]]</f>
        <v>305420.85600000003</v>
      </c>
      <c r="AA4" s="8">
        <f>Table1123[[#This Row],[d (mm)]]/300</f>
        <v>1.69</v>
      </c>
      <c r="AB4" s="8">
        <f>Table1123[[#This Row],[a/d]]*Table1123[[#This Row],[d]]</f>
        <v>1850.55</v>
      </c>
      <c r="AC4" s="8">
        <f>Table1123[[#This Row],[d]]</f>
        <v>507</v>
      </c>
      <c r="AD4" s="8">
        <v>591</v>
      </c>
      <c r="AE4" s="5">
        <v>1172</v>
      </c>
      <c r="AF4" s="5">
        <v>39.299999999999997</v>
      </c>
      <c r="AG4" s="8">
        <f>Table1123[[#This Row],[pho (%)]]/100*Table1123[[#This Row],[b (mm)]]*Table1123[[#This Row],[d (mm)]]</f>
        <v>9982.627199999999</v>
      </c>
      <c r="AH4" s="8">
        <v>1.68</v>
      </c>
      <c r="AI4" s="8">
        <v>465</v>
      </c>
      <c r="AJ4" s="8">
        <f>(1/3-0.21*(MIN(Table1123[[#This Row],[b (mm)]],AD4)/MAX(Table1123[[#This Row],[b (mm)]],AD4))*(MIN(Table1123[[#This Row],[b (mm)]],AD4)^4/(12*MAX(Table1123[[#This Row],[b (mm)]],AD4)^4)))*MAX(Table1123[[#This Row],[b (mm)]],AD4)*MIN(Table1123[[#This Row],[b (mm)]],AD4)^3</f>
        <v>80505347252.727905</v>
      </c>
      <c r="AK4" s="8">
        <f>Table1123[[#This Row],[b (mm)]]*AD4^3/12</f>
        <v>20160848601</v>
      </c>
      <c r="AL4" s="8">
        <v>3700</v>
      </c>
      <c r="AM4" s="12" t="s">
        <v>3</v>
      </c>
      <c r="AN4" s="6">
        <v>31.4</v>
      </c>
    </row>
    <row r="5" spans="1:42" x14ac:dyDescent="0.25">
      <c r="A5" s="27" t="s">
        <v>131</v>
      </c>
      <c r="B5" s="27">
        <v>4</v>
      </c>
      <c r="C5" s="3">
        <v>4</v>
      </c>
      <c r="D5" s="3">
        <v>3.65</v>
      </c>
      <c r="E5" s="3">
        <v>550</v>
      </c>
      <c r="F5" s="3">
        <v>507</v>
      </c>
      <c r="G5" s="8">
        <f t="shared" si="0"/>
        <v>1017802.5</v>
      </c>
      <c r="H5" s="8">
        <f t="shared" si="1"/>
        <v>1.9168671863534897E-6</v>
      </c>
      <c r="I5" s="8">
        <f>G5/(Table1123[[#This Row],[b (mm)]]*AC5^2)</f>
        <v>3.3784693472275517E-3</v>
      </c>
      <c r="J5" s="8">
        <f t="shared" si="2"/>
        <v>0.43247175463742343</v>
      </c>
      <c r="K5" s="8">
        <f t="shared" si="3"/>
        <v>2.1757466012651051E-7</v>
      </c>
      <c r="L5" s="8">
        <f>E5/(Table1123[[#This Row],[b (mm)]]*AC5)</f>
        <v>9.2560804033631552E-4</v>
      </c>
      <c r="M5" s="8">
        <f>Table1123[[#This Row],[M (KN.mm)]]/(Table1123[[#This Row],[b (mm)]]*Table1123[[#This Row],[d (mm)]])</f>
        <v>1.7128839590443685</v>
      </c>
      <c r="N5" s="8">
        <f>Table1123[[#This Row],[M (KN.mm)]]/(Table1123[[#This Row],[b (mm)]]*Table1123[[#This Row],[h (mm)]])</f>
        <v>1.4694283709568441</v>
      </c>
      <c r="O5" s="8">
        <f>Table1123[[#This Row],[M (KN.mm)]]/(Table1123[[#This Row],[b (mm)]]*Table1123[[#This Row],[h (mm)]]*Table1123[[#This Row],[L(mm)]])</f>
        <v>3.9714280296130922E-4</v>
      </c>
      <c r="P5" s="8">
        <f>Table1123[[#This Row],[M (KN.mm)]]/(Table1123[[#This Row],[b (mm)]]*Table1123[[#This Row],[d (mm)]]*Table1123[[#This Row],[L(mm)]])</f>
        <v>4.6294161055253206E-4</v>
      </c>
      <c r="Q5" s="8">
        <f>Table1123[[#This Row],[M (KN.mm)]]/(Table1123[[#This Row],[b (mm)]]*Table1123[[#This Row],[h (mm)]]*Table1123[[#This Row],[L(mm)]]*Table1123[[#This Row],[fc (Mpa)]])</f>
        <v>1.01054148336211E-5</v>
      </c>
      <c r="R5" s="8">
        <f>Table1123[[#This Row],[M (KN.mm)]]/(Table1123[[#This Row],[b (mm)]]*Table1123[[#This Row],[h (mm)]]*Table1123[[#This Row],[L(mm)]]/2)</f>
        <v>7.9428560592261844E-4</v>
      </c>
      <c r="S5" s="8">
        <f>Table1123[[#This Row],[M (KN.mm)]]/(Table1123[[#This Row],[a (mm)]]*Table1123[[#This Row],[b (mm)]]*Table1123[[#This Row],[h (mm)]]*Table1123[[#This Row],[L(mm)]]/2)</f>
        <v>4.2921596602232758E-7</v>
      </c>
      <c r="T5" s="8">
        <f>G5/($AN$5*AK5*0.001*Table1123[[#This Row],[pho (%)]])</f>
        <v>1.1409923728294583E-6</v>
      </c>
      <c r="U5" s="8">
        <f>Table1123[[#This Row],[M (KN.mm)]]/(Table1123[[#This Row],[b (mm)]]*Table1123[[#This Row],[d (mm)]]*Table1123[[#This Row],[pho (%)]])</f>
        <v>1.0195737851454576</v>
      </c>
      <c r="V5" s="8">
        <f>E5*224.8/(2*SQRT(Table1123[[#This Row],[fc (Mpa)]]*145.037)*Table1123[[#This Row],[b (mm)]]*Table1123[[#This Row],[d (mm)]]*(1/25.4)^2)</f>
        <v>0.88904794763738582</v>
      </c>
      <c r="W5" s="8">
        <f>Table1123[[#This Row],[M (KN.mm)]]/$G$7</f>
        <v>0.70967741935483875</v>
      </c>
      <c r="X5" s="8">
        <f>E5*224.8/(2*SQRT(Table1123[[#This Row],[fc (Mpa)]]*145.037)*Table1123[[#This Row],[b (mm)]]*Table1123[[#This Row],[d (mm)]]*(1/25.4)^2+Table1123[[#This Row],[Av fy d/s (N)]]*0.2248)</f>
        <v>0.59519934543655306</v>
      </c>
      <c r="Y5" s="8">
        <v>0.51400000000000001</v>
      </c>
      <c r="Z5" s="8">
        <f>Table1123[[#This Row],[Av fy/(b S) (Mpa)]]*Table1123[[#This Row],[d (mm)]]*Table1123[[#This Row],[b (mm)]]</f>
        <v>305420.85600000003</v>
      </c>
      <c r="AA5" s="8">
        <f>Table1123[[#This Row],[d (mm)]]/300</f>
        <v>1.69</v>
      </c>
      <c r="AB5" s="8">
        <f>Table1123[[#This Row],[a/d]]*Table1123[[#This Row],[d]]</f>
        <v>1850.55</v>
      </c>
      <c r="AC5" s="8">
        <f>Table1123[[#This Row],[d]]</f>
        <v>507</v>
      </c>
      <c r="AD5" s="8">
        <v>591</v>
      </c>
      <c r="AE5" s="5">
        <v>1172</v>
      </c>
      <c r="AF5" s="5">
        <v>39.299999999999997</v>
      </c>
      <c r="AG5" s="8">
        <f>Table1123[[#This Row],[pho (%)]]/100*Table1123[[#This Row],[b (mm)]]*Table1123[[#This Row],[d (mm)]]</f>
        <v>9982.627199999999</v>
      </c>
      <c r="AH5" s="8">
        <v>1.68</v>
      </c>
      <c r="AI5" s="8">
        <v>465</v>
      </c>
      <c r="AJ5" s="8">
        <f>(1/3-0.21*(MIN(Table1123[[#This Row],[b (mm)]],AD5)/MAX(Table1123[[#This Row],[b (mm)]],AD5))*(MIN(Table1123[[#This Row],[b (mm)]],AD5)^4/(12*MAX(Table1123[[#This Row],[b (mm)]],AD5)^4)))*MAX(Table1123[[#This Row],[b (mm)]],AD5)*MIN(Table1123[[#This Row],[b (mm)]],AD5)^3</f>
        <v>80505347252.727905</v>
      </c>
      <c r="AK5" s="8">
        <f>Table1123[[#This Row],[b (mm)]]*AD5^3/12</f>
        <v>20160848601</v>
      </c>
      <c r="AL5" s="8">
        <v>3700</v>
      </c>
      <c r="AM5" s="12" t="s">
        <v>4</v>
      </c>
      <c r="AN5" s="6">
        <f>4700*SQRT(AN4)</f>
        <v>26336.780365109171</v>
      </c>
    </row>
    <row r="6" spans="1:42" x14ac:dyDescent="0.25">
      <c r="A6" s="27" t="s">
        <v>131</v>
      </c>
      <c r="B6" s="27">
        <v>5</v>
      </c>
      <c r="C6" s="3">
        <v>5</v>
      </c>
      <c r="D6" s="3">
        <v>3.65</v>
      </c>
      <c r="E6" s="3">
        <v>700</v>
      </c>
      <c r="F6" s="3">
        <v>507</v>
      </c>
      <c r="G6" s="8">
        <f t="shared" si="0"/>
        <v>1295385</v>
      </c>
      <c r="H6" s="8">
        <f t="shared" si="1"/>
        <v>2.439649146268078E-6</v>
      </c>
      <c r="I6" s="8">
        <f>G6/(Table1123[[#This Row],[b (mm)]]*AC6^2)</f>
        <v>4.2998700782896108E-3</v>
      </c>
      <c r="J6" s="8">
        <f t="shared" si="2"/>
        <v>0.55041859681126615</v>
      </c>
      <c r="K6" s="8">
        <f t="shared" si="3"/>
        <v>2.76913203797377E-7</v>
      </c>
      <c r="L6" s="8">
        <f>E6/(Table1123[[#This Row],[b (mm)]]*AC6)</f>
        <v>1.1780465967916743E-3</v>
      </c>
      <c r="M6" s="8">
        <f>Table1123[[#This Row],[M (KN.mm)]]/(Table1123[[#This Row],[b (mm)]]*Table1123[[#This Row],[d (mm)]])</f>
        <v>2.1800341296928329</v>
      </c>
      <c r="N6" s="8">
        <f>Table1123[[#This Row],[M (KN.mm)]]/(Table1123[[#This Row],[b (mm)]]*Table1123[[#This Row],[h (mm)]])</f>
        <v>1.8701815630359835</v>
      </c>
      <c r="O6" s="8">
        <f>Table1123[[#This Row],[M (KN.mm)]]/(Table1123[[#This Row],[b (mm)]]*Table1123[[#This Row],[h (mm)]]*Table1123[[#This Row],[L(mm)]])</f>
        <v>5.0545447649621175E-4</v>
      </c>
      <c r="P6" s="8">
        <f>Table1123[[#This Row],[M (KN.mm)]]/(Table1123[[#This Row],[b (mm)]]*Table1123[[#This Row],[d (mm)]]*Table1123[[#This Row],[L(mm)]])</f>
        <v>5.8919841343049533E-4</v>
      </c>
      <c r="Q6" s="8">
        <f>Table1123[[#This Row],[M (KN.mm)]]/(Table1123[[#This Row],[b (mm)]]*Table1123[[#This Row],[h (mm)]]*Table1123[[#This Row],[L(mm)]]*Table1123[[#This Row],[fc (Mpa)]])</f>
        <v>1.286143706097231E-5</v>
      </c>
      <c r="R6" s="8">
        <f>Table1123[[#This Row],[M (KN.mm)]]/(Table1123[[#This Row],[b (mm)]]*Table1123[[#This Row],[h (mm)]]*Table1123[[#This Row],[L(mm)]]/2)</f>
        <v>1.0109089529924235E-3</v>
      </c>
      <c r="S6" s="8">
        <f>Table1123[[#This Row],[M (KN.mm)]]/(Table1123[[#This Row],[a (mm)]]*Table1123[[#This Row],[b (mm)]]*Table1123[[#This Row],[h (mm)]]*Table1123[[#This Row],[L(mm)]]/2)</f>
        <v>5.4627486584659868E-7</v>
      </c>
      <c r="T6" s="8">
        <f>G6/($AN$5*AK6*0.001*Table1123[[#This Row],[pho (%)]])</f>
        <v>1.452172110873856E-6</v>
      </c>
      <c r="U6" s="8">
        <f>Table1123[[#This Row],[M (KN.mm)]]/(Table1123[[#This Row],[b (mm)]]*Table1123[[#This Row],[d (mm)]]*Table1123[[#This Row],[pho (%)]])</f>
        <v>1.2976393629124006</v>
      </c>
      <c r="V6" s="8">
        <f>E6*224.8/(2*SQRT(Table1123[[#This Row],[fc (Mpa)]]*145.037)*Table1123[[#This Row],[b (mm)]]*Table1123[[#This Row],[d (mm)]]*(1/25.4)^2)</f>
        <v>1.1315155697203092</v>
      </c>
      <c r="W6" s="8">
        <f>Table1123[[#This Row],[M (KN.mm)]]/$G$7</f>
        <v>0.90322580645161288</v>
      </c>
      <c r="X6" s="8">
        <f>E6*224.8/(2*SQRT(Table1123[[#This Row],[fc (Mpa)]]*145.037)*Table1123[[#This Row],[b (mm)]]*Table1123[[#This Row],[d (mm)]]*(1/25.4)^2+Table1123[[#This Row],[Av fy d/s (N)]]*0.2248)</f>
        <v>0.75752643964652211</v>
      </c>
      <c r="Y6" s="8">
        <v>0.51400000000000001</v>
      </c>
      <c r="Z6" s="8">
        <f>Table1123[[#This Row],[Av fy/(b S) (Mpa)]]*Table1123[[#This Row],[d (mm)]]*Table1123[[#This Row],[b (mm)]]</f>
        <v>305420.85600000003</v>
      </c>
      <c r="AA6" s="8">
        <f>Table1123[[#This Row],[d (mm)]]/300</f>
        <v>1.69</v>
      </c>
      <c r="AB6" s="8">
        <f>Table1123[[#This Row],[a/d]]*Table1123[[#This Row],[d]]</f>
        <v>1850.55</v>
      </c>
      <c r="AC6" s="8">
        <f>Table1123[[#This Row],[d]]</f>
        <v>507</v>
      </c>
      <c r="AD6" s="8">
        <v>591</v>
      </c>
      <c r="AE6" s="5">
        <v>1172</v>
      </c>
      <c r="AF6" s="5">
        <v>39.299999999999997</v>
      </c>
      <c r="AG6" s="8">
        <f>Table1123[[#This Row],[pho (%)]]/100*Table1123[[#This Row],[b (mm)]]*Table1123[[#This Row],[d (mm)]]</f>
        <v>9982.627199999999</v>
      </c>
      <c r="AH6" s="8">
        <v>1.68</v>
      </c>
      <c r="AI6" s="8">
        <v>465</v>
      </c>
      <c r="AJ6" s="8">
        <f>(1/3-0.21*(MIN(Table1123[[#This Row],[b (mm)]],AD6)/MAX(Table1123[[#This Row],[b (mm)]],AD6))*(MIN(Table1123[[#This Row],[b (mm)]],AD6)^4/(12*MAX(Table1123[[#This Row],[b (mm)]],AD6)^4)))*MAX(Table1123[[#This Row],[b (mm)]],AD6)*MIN(Table1123[[#This Row],[b (mm)]],AD6)^3</f>
        <v>80505347252.727905</v>
      </c>
      <c r="AK6" s="8">
        <f>Table1123[[#This Row],[b (mm)]]*AD6^3/12</f>
        <v>20160848601</v>
      </c>
      <c r="AL6" s="8">
        <v>3700</v>
      </c>
      <c r="AM6" s="12" t="s">
        <v>12</v>
      </c>
      <c r="AN6" s="6">
        <f>AN5/(2*(1+0.15))</f>
        <v>11450.774071786596</v>
      </c>
    </row>
    <row r="7" spans="1:42" x14ac:dyDescent="0.25">
      <c r="A7" s="27" t="s">
        <v>131</v>
      </c>
      <c r="B7" s="27">
        <v>6</v>
      </c>
      <c r="C7" s="3">
        <v>6</v>
      </c>
      <c r="D7" s="3">
        <v>3.65</v>
      </c>
      <c r="E7" s="3">
        <v>775</v>
      </c>
      <c r="F7" s="3">
        <v>507</v>
      </c>
      <c r="G7" s="8">
        <f t="shared" si="0"/>
        <v>1434176.25</v>
      </c>
      <c r="H7" s="8">
        <f t="shared" si="1"/>
        <v>2.7010401262253719E-6</v>
      </c>
      <c r="I7" s="8">
        <f>G7/(Table1123[[#This Row],[b (mm)]]*AC7^2)</f>
        <v>4.7605704438206404E-3</v>
      </c>
      <c r="J7" s="8">
        <f t="shared" si="2"/>
        <v>0.60939201789818753</v>
      </c>
      <c r="K7" s="8">
        <f t="shared" si="3"/>
        <v>3.0658247563281028E-7</v>
      </c>
      <c r="L7" s="8">
        <f>E7/(Table1123[[#This Row],[b (mm)]]*AC7)</f>
        <v>1.3042658750193536E-3</v>
      </c>
      <c r="M7" s="8">
        <f>Table1123[[#This Row],[M (KN.mm)]]/(Table1123[[#This Row],[b (mm)]]*Table1123[[#This Row],[d (mm)]])</f>
        <v>2.4136092150170647</v>
      </c>
      <c r="N7" s="8">
        <f>Table1123[[#This Row],[M (KN.mm)]]/(Table1123[[#This Row],[b (mm)]]*Table1123[[#This Row],[h (mm)]])</f>
        <v>2.0705581590755533</v>
      </c>
      <c r="O7" s="8">
        <f>Table1123[[#This Row],[M (KN.mm)]]/(Table1123[[#This Row],[b (mm)]]*Table1123[[#This Row],[h (mm)]]*Table1123[[#This Row],[L(mm)]])</f>
        <v>5.5961031326366305E-4</v>
      </c>
      <c r="P7" s="8">
        <f>Table1123[[#This Row],[M (KN.mm)]]/(Table1123[[#This Row],[b (mm)]]*Table1123[[#This Row],[d (mm)]]*Table1123[[#This Row],[L(mm)]])</f>
        <v>6.5232681486947696E-4</v>
      </c>
      <c r="Q7" s="8">
        <f>Table1123[[#This Row],[M (KN.mm)]]/(Table1123[[#This Row],[b (mm)]]*Table1123[[#This Row],[h (mm)]]*Table1123[[#This Row],[L(mm)]]*Table1123[[#This Row],[fc (Mpa)]])</f>
        <v>1.4239448174647913E-5</v>
      </c>
      <c r="R7" s="8">
        <f>Table1123[[#This Row],[M (KN.mm)]]/(Table1123[[#This Row],[b (mm)]]*Table1123[[#This Row],[h (mm)]]*Table1123[[#This Row],[L(mm)]]/2)</f>
        <v>1.1192206265273261E-3</v>
      </c>
      <c r="S7" s="8">
        <f>Table1123[[#This Row],[M (KN.mm)]]/(Table1123[[#This Row],[a (mm)]]*Table1123[[#This Row],[b (mm)]]*Table1123[[#This Row],[h (mm)]]*Table1123[[#This Row],[L(mm)]]/2)</f>
        <v>6.0480431575873431E-7</v>
      </c>
      <c r="T7" s="8">
        <f>G7/($AN$5*AK7*0.001*Table1123[[#This Row],[pho (%)]])</f>
        <v>1.6077619798960549E-6</v>
      </c>
      <c r="U7" s="8">
        <f>Table1123[[#This Row],[M (KN.mm)]]/(Table1123[[#This Row],[b (mm)]]*Table1123[[#This Row],[d (mm)]]*Table1123[[#This Row],[pho (%)]])</f>
        <v>1.436672151795872</v>
      </c>
      <c r="V7" s="8">
        <f>E7*224.8/(2*SQRT(Table1123[[#This Row],[fc (Mpa)]]*145.037)*Table1123[[#This Row],[b (mm)]]*Table1123[[#This Row],[d (mm)]]*(1/25.4)^2)</f>
        <v>1.2527493807617709</v>
      </c>
      <c r="W7" s="8">
        <f>Table1123[[#This Row],[M (KN.mm)]]/$G$7</f>
        <v>1</v>
      </c>
      <c r="X7" s="8">
        <f>E7*224.8/(2*SQRT(Table1123[[#This Row],[fc (Mpa)]]*145.037)*Table1123[[#This Row],[b (mm)]]*Table1123[[#This Row],[d (mm)]]*(1/25.4)^2+Table1123[[#This Row],[Av fy d/s (N)]]*0.2248)</f>
        <v>0.83868998675150663</v>
      </c>
      <c r="Y7" s="8">
        <v>0.51400000000000001</v>
      </c>
      <c r="Z7" s="8">
        <f>Table1123[[#This Row],[Av fy/(b S) (Mpa)]]*Table1123[[#This Row],[d (mm)]]*Table1123[[#This Row],[b (mm)]]</f>
        <v>305420.85600000003</v>
      </c>
      <c r="AA7" s="8">
        <f>Table1123[[#This Row],[d (mm)]]/300</f>
        <v>1.69</v>
      </c>
      <c r="AB7" s="8">
        <f>Table1123[[#This Row],[a/d]]*Table1123[[#This Row],[d]]</f>
        <v>1850.55</v>
      </c>
      <c r="AC7" s="8">
        <f>Table1123[[#This Row],[d]]</f>
        <v>507</v>
      </c>
      <c r="AD7" s="8">
        <v>591</v>
      </c>
      <c r="AE7" s="5">
        <v>1172</v>
      </c>
      <c r="AF7" s="5">
        <v>39.299999999999997</v>
      </c>
      <c r="AG7" s="8">
        <f>Table1123[[#This Row],[pho (%)]]/100*Table1123[[#This Row],[b (mm)]]*Table1123[[#This Row],[d (mm)]]</f>
        <v>9982.627199999999</v>
      </c>
      <c r="AH7" s="8">
        <v>1.68</v>
      </c>
      <c r="AI7" s="8">
        <v>465</v>
      </c>
      <c r="AJ7" s="8">
        <f>(1/3-0.21*(MIN(Table1123[[#This Row],[b (mm)]],AD7)/MAX(Table1123[[#This Row],[b (mm)]],AD7))*(MIN(Table1123[[#This Row],[b (mm)]],AD7)^4/(12*MAX(Table1123[[#This Row],[b (mm)]],AD7)^4)))*MAX(Table1123[[#This Row],[b (mm)]],AD7)*MIN(Table1123[[#This Row],[b (mm)]],AD7)^3</f>
        <v>80505347252.727905</v>
      </c>
      <c r="AK7" s="8">
        <f>Table1123[[#This Row],[b (mm)]]*AD7^3/12</f>
        <v>20160848601</v>
      </c>
      <c r="AL7" s="8">
        <v>3700</v>
      </c>
      <c r="AM7" s="12"/>
      <c r="AN7" s="6"/>
    </row>
    <row r="8" spans="1:42" x14ac:dyDescent="0.25">
      <c r="A8" s="28" t="s">
        <v>132</v>
      </c>
      <c r="B8" s="15">
        <v>1</v>
      </c>
      <c r="C8" s="3">
        <v>7</v>
      </c>
      <c r="D8" s="15">
        <v>3.63</v>
      </c>
      <c r="E8" s="15">
        <v>250</v>
      </c>
      <c r="F8" s="15">
        <v>509</v>
      </c>
      <c r="G8" s="8">
        <f t="shared" ref="G8:G13" si="4">E8*AB8</f>
        <v>461917.49999999994</v>
      </c>
      <c r="H8" s="8">
        <f t="shared" ref="H8:H13" si="5">G8/($AN$5*AK8*0.001)</f>
        <v>8.6634919195658957E-7</v>
      </c>
      <c r="I8" s="8">
        <f>G8/(Table1123[[#This Row],[b (mm)]]*AC8^2)</f>
        <v>1.5303928429892828E-3</v>
      </c>
      <c r="J8" s="8">
        <f t="shared" ref="J8:J13" si="6">G8/(AG8*AI8*AC8*0.001)</f>
        <v>0.19474363338923242</v>
      </c>
      <c r="K8" s="8">
        <f t="shared" ref="K8:K13" si="7">E8/($AN$4*AJ8*0.001)</f>
        <v>9.8496636250100098E-8</v>
      </c>
      <c r="L8" s="8">
        <f>E8/(Table1123[[#This Row],[b (mm)]]*AC8)</f>
        <v>4.2159582451495401E-4</v>
      </c>
      <c r="M8" s="8">
        <f>Table1123[[#This Row],[M (KN.mm)]]/(Table1123[[#This Row],[b (mm)]]*Table1123[[#This Row],[d (mm)]])</f>
        <v>0.77896995708154493</v>
      </c>
      <c r="N8" s="8">
        <f>Table1123[[#This Row],[M (KN.mm)]]/(Table1123[[#This Row],[b (mm)]]*Table1123[[#This Row],[h (mm)]])</f>
        <v>0.66862682656746442</v>
      </c>
      <c r="O8" s="8">
        <f>Table1123[[#This Row],[M (KN.mm)]]/(Table1123[[#This Row],[b (mm)]]*Table1123[[#This Row],[h (mm)]]*Table1123[[#This Row],[L(mm)]])</f>
        <v>1.8070995312634172E-4</v>
      </c>
      <c r="P8" s="8">
        <f>Table1123[[#This Row],[M (KN.mm)]]/(Table1123[[#This Row],[b (mm)]]*Table1123[[#This Row],[d (mm)]]*Table1123[[#This Row],[L(mm)]])</f>
        <v>2.1053242083285E-4</v>
      </c>
      <c r="Q8" s="8">
        <f>Table1123[[#This Row],[M (KN.mm)]]/(Table1123[[#This Row],[b (mm)]]*Table1123[[#This Row],[h (mm)]]*Table1123[[#This Row],[L(mm)]]*Table1123[[#This Row],[fc (Mpa)]])</f>
        <v>4.8577944388801543E-6</v>
      </c>
      <c r="R8" s="8">
        <f>Table1123[[#This Row],[M (KN.mm)]]/(Table1123[[#This Row],[b (mm)]]*Table1123[[#This Row],[h (mm)]]*Table1123[[#This Row],[L(mm)]]/2)</f>
        <v>3.6141990625268344E-4</v>
      </c>
      <c r="S8" s="8">
        <f>Table1123[[#This Row],[M (KN.mm)]]/(Table1123[[#This Row],[a (mm)]]*Table1123[[#This Row],[b (mm)]]*Table1123[[#This Row],[h (mm)]]*Table1123[[#This Row],[L(mm)]]/2)</f>
        <v>1.9560847242888802E-7</v>
      </c>
      <c r="T8" s="8">
        <f>G8/($AN$5*AK8*0.001*Table1123[[#This Row],[pho (%)]])</f>
        <v>5.1263265796247905E-7</v>
      </c>
      <c r="U8" s="8">
        <f>Table1123[[#This Row],[M (KN.mm)]]/(Table1123[[#This Row],[b (mm)]]*Table1123[[#This Row],[d (mm)]]*Table1123[[#This Row],[pho (%)]])</f>
        <v>0.46092896868730471</v>
      </c>
      <c r="V8" s="8">
        <f>E8*224.8/(2*SQRT(Table1123[[#This Row],[fc (Mpa)]]*145.037)*Table1123[[#This Row],[b (mm)]]*Table1123[[#This Row],[d (mm)]]*(1/25.4)^2)</f>
        <v>0.41621638364499725</v>
      </c>
      <c r="W8" s="8">
        <f>Table1123[[#This Row],[M (KN.mm)]]/$G$13</f>
        <v>0.30303030303030304</v>
      </c>
      <c r="X8" s="8">
        <f>E8*224.8/(2*SQRT(Table1123[[#This Row],[fc (Mpa)]]*145.037)*Table1123[[#This Row],[b (mm)]]*Table1123[[#This Row],[d (mm)]]*(1/25.4)^2+Table1123[[#This Row],[Av fy d/s (N)]]*0.2248)</f>
        <v>0.27556640209481686</v>
      </c>
      <c r="Y8" s="15">
        <v>0.51700000000000002</v>
      </c>
      <c r="Z8" s="8">
        <f>Table1123[[#This Row],[Av fy/(b S) (Mpa)]]*Table1123[[#This Row],[d (mm)]]*Table1123[[#This Row],[b (mm)]]</f>
        <v>306573.245</v>
      </c>
      <c r="AA8" s="8">
        <f>Table1123[[#This Row],[d (mm)]]/300</f>
        <v>1.6966666666666668</v>
      </c>
      <c r="AB8" s="8">
        <f>Table1123[[#This Row],[a/d]]*Table1123[[#This Row],[d]]</f>
        <v>1847.6699999999998</v>
      </c>
      <c r="AC8" s="8">
        <f>Table1123[[#This Row],[d]]</f>
        <v>509</v>
      </c>
      <c r="AD8" s="15">
        <v>593</v>
      </c>
      <c r="AE8" s="15">
        <v>1165</v>
      </c>
      <c r="AF8" s="15">
        <v>37.200000000000003</v>
      </c>
      <c r="AG8" s="8">
        <f>Table1123[[#This Row],[pho (%)]]/100*Table1123[[#This Row],[b (mm)]]*Table1123[[#This Row],[d (mm)]]</f>
        <v>10021.446499999998</v>
      </c>
      <c r="AH8" s="15">
        <v>1.69</v>
      </c>
      <c r="AI8" s="8">
        <v>465</v>
      </c>
      <c r="AJ8" s="8">
        <f>(1/3-0.21*(MIN(Table1123[[#This Row],[b (mm)]],AD8)/MAX(Table1123[[#This Row],[b (mm)]],AD8))*(MIN(Table1123[[#This Row],[b (mm)]],AD8)^4/(12*MAX(Table1123[[#This Row],[b (mm)]],AD8)^4)))*MAX(Table1123[[#This Row],[b (mm)]],AD8)*MIN(Table1123[[#This Row],[b (mm)]],AD8)^3</f>
        <v>80833049153.821777</v>
      </c>
      <c r="AK8" s="8">
        <f>Table1123[[#This Row],[b (mm)]]*AD8^3/12</f>
        <v>20244579450.416668</v>
      </c>
      <c r="AL8" s="8">
        <v>3700</v>
      </c>
      <c r="AM8" s="12"/>
      <c r="AN8" s="6"/>
    </row>
    <row r="9" spans="1:42" x14ac:dyDescent="0.25">
      <c r="A9" s="28" t="s">
        <v>132</v>
      </c>
      <c r="B9" s="15">
        <v>2</v>
      </c>
      <c r="C9" s="3">
        <v>8</v>
      </c>
      <c r="D9" s="15">
        <v>3.63</v>
      </c>
      <c r="E9" s="15">
        <v>400</v>
      </c>
      <c r="F9" s="15">
        <v>509</v>
      </c>
      <c r="G9" s="8">
        <f t="shared" si="4"/>
        <v>739067.99999999988</v>
      </c>
      <c r="H9" s="8">
        <f t="shared" si="5"/>
        <v>1.3861587071305432E-6</v>
      </c>
      <c r="I9" s="8">
        <f>G9/(Table1123[[#This Row],[b (mm)]]*AC9^2)</f>
        <v>2.4486285487828525E-3</v>
      </c>
      <c r="J9" s="8">
        <f t="shared" si="6"/>
        <v>0.31158981342277187</v>
      </c>
      <c r="K9" s="8">
        <f t="shared" si="7"/>
        <v>1.5759461800016016E-7</v>
      </c>
      <c r="L9" s="8">
        <f>E9/(Table1123[[#This Row],[b (mm)]]*AC9)</f>
        <v>6.7455331922392642E-4</v>
      </c>
      <c r="M9" s="8">
        <f>Table1123[[#This Row],[M (KN.mm)]]/(Table1123[[#This Row],[b (mm)]]*Table1123[[#This Row],[d (mm)]])</f>
        <v>1.2463519313304718</v>
      </c>
      <c r="N9" s="8">
        <f>Table1123[[#This Row],[M (KN.mm)]]/(Table1123[[#This Row],[b (mm)]]*Table1123[[#This Row],[h (mm)]])</f>
        <v>1.0698029225079431</v>
      </c>
      <c r="O9" s="8">
        <f>Table1123[[#This Row],[M (KN.mm)]]/(Table1123[[#This Row],[b (mm)]]*Table1123[[#This Row],[h (mm)]]*Table1123[[#This Row],[L(mm)]])</f>
        <v>2.8913592500214675E-4</v>
      </c>
      <c r="P9" s="8">
        <f>Table1123[[#This Row],[M (KN.mm)]]/(Table1123[[#This Row],[b (mm)]]*Table1123[[#This Row],[d (mm)]]*Table1123[[#This Row],[L(mm)]])</f>
        <v>3.3685187333255996E-4</v>
      </c>
      <c r="Q9" s="8">
        <f>Table1123[[#This Row],[M (KN.mm)]]/(Table1123[[#This Row],[b (mm)]]*Table1123[[#This Row],[h (mm)]]*Table1123[[#This Row],[L(mm)]]*Table1123[[#This Row],[fc (Mpa)]])</f>
        <v>7.7724711022082466E-6</v>
      </c>
      <c r="R9" s="8">
        <f>Table1123[[#This Row],[M (KN.mm)]]/(Table1123[[#This Row],[b (mm)]]*Table1123[[#This Row],[h (mm)]]*Table1123[[#This Row],[L(mm)]]/2)</f>
        <v>5.7827185000429351E-4</v>
      </c>
      <c r="S9" s="8">
        <f>Table1123[[#This Row],[M (KN.mm)]]/(Table1123[[#This Row],[a (mm)]]*Table1123[[#This Row],[b (mm)]]*Table1123[[#This Row],[h (mm)]]*Table1123[[#This Row],[L(mm)]]/2)</f>
        <v>3.1297355588622083E-7</v>
      </c>
      <c r="T9" s="8">
        <f>G9/($AN$5*AK9*0.001*Table1123[[#This Row],[pho (%)]])</f>
        <v>8.2021225273996647E-7</v>
      </c>
      <c r="U9" s="8">
        <f>Table1123[[#This Row],[M (KN.mm)]]/(Table1123[[#This Row],[b (mm)]]*Table1123[[#This Row],[d (mm)]]*Table1123[[#This Row],[pho (%)]])</f>
        <v>0.73748634989968753</v>
      </c>
      <c r="V9" s="8">
        <f>E9*224.8/(2*SQRT(Table1123[[#This Row],[fc (Mpa)]]*145.037)*Table1123[[#This Row],[b (mm)]]*Table1123[[#This Row],[d (mm)]]*(1/25.4)^2)</f>
        <v>0.66594621383199559</v>
      </c>
      <c r="W9" s="8">
        <f>Table1123[[#This Row],[M (KN.mm)]]/$G$13</f>
        <v>0.48484848484848486</v>
      </c>
      <c r="X9" s="8">
        <f>E9*224.8/(2*SQRT(Table1123[[#This Row],[fc (Mpa)]]*145.037)*Table1123[[#This Row],[b (mm)]]*Table1123[[#This Row],[d (mm)]]*(1/25.4)^2+Table1123[[#This Row],[Av fy d/s (N)]]*0.2248)</f>
        <v>0.44090624335170697</v>
      </c>
      <c r="Y9" s="15">
        <v>0.51700000000000002</v>
      </c>
      <c r="Z9" s="8">
        <f>Table1123[[#This Row],[Av fy/(b S) (Mpa)]]*Table1123[[#This Row],[d (mm)]]*Table1123[[#This Row],[b (mm)]]</f>
        <v>306573.245</v>
      </c>
      <c r="AA9" s="8">
        <f>Table1123[[#This Row],[d (mm)]]/300</f>
        <v>1.6966666666666668</v>
      </c>
      <c r="AB9" s="8">
        <f>Table1123[[#This Row],[a/d]]*Table1123[[#This Row],[d]]</f>
        <v>1847.6699999999998</v>
      </c>
      <c r="AC9" s="8">
        <f>Table1123[[#This Row],[d]]</f>
        <v>509</v>
      </c>
      <c r="AD9" s="15">
        <v>593</v>
      </c>
      <c r="AE9" s="15">
        <v>1165</v>
      </c>
      <c r="AF9" s="15">
        <v>37.200000000000003</v>
      </c>
      <c r="AG9" s="8">
        <f>Table1123[[#This Row],[pho (%)]]/100*Table1123[[#This Row],[b (mm)]]*Table1123[[#This Row],[d (mm)]]</f>
        <v>10021.446499999998</v>
      </c>
      <c r="AH9" s="15">
        <v>1.69</v>
      </c>
      <c r="AI9" s="8">
        <v>465</v>
      </c>
      <c r="AJ9" s="8">
        <f>(1/3-0.21*(MIN(Table1123[[#This Row],[b (mm)]],AD9)/MAX(Table1123[[#This Row],[b (mm)]],AD9))*(MIN(Table1123[[#This Row],[b (mm)]],AD9)^4/(12*MAX(Table1123[[#This Row],[b (mm)]],AD9)^4)))*MAX(Table1123[[#This Row],[b (mm)]],AD9)*MIN(Table1123[[#This Row],[b (mm)]],AD9)^3</f>
        <v>80833049153.821777</v>
      </c>
      <c r="AK9" s="8">
        <f>Table1123[[#This Row],[b (mm)]]*AD9^3/12</f>
        <v>20244579450.416668</v>
      </c>
      <c r="AL9" s="8">
        <v>3700</v>
      </c>
      <c r="AM9" s="12"/>
      <c r="AN9" s="6"/>
    </row>
    <row r="10" spans="1:42" x14ac:dyDescent="0.25">
      <c r="A10" s="28" t="s">
        <v>132</v>
      </c>
      <c r="B10" s="15">
        <v>3</v>
      </c>
      <c r="C10" s="3">
        <v>9</v>
      </c>
      <c r="D10" s="15">
        <v>3.63</v>
      </c>
      <c r="E10" s="15">
        <v>550</v>
      </c>
      <c r="F10" s="15">
        <v>509</v>
      </c>
      <c r="G10" s="8">
        <f t="shared" si="4"/>
        <v>1016218.4999999999</v>
      </c>
      <c r="H10" s="8">
        <f t="shared" si="5"/>
        <v>1.9059682223044971E-6</v>
      </c>
      <c r="I10" s="8">
        <f>G10/(Table1123[[#This Row],[b (mm)]]*AC10^2)</f>
        <v>3.3668642545764222E-3</v>
      </c>
      <c r="J10" s="8">
        <f t="shared" si="6"/>
        <v>0.42843599345631134</v>
      </c>
      <c r="K10" s="8">
        <f t="shared" si="7"/>
        <v>2.166925997502202E-7</v>
      </c>
      <c r="L10" s="8">
        <f>E10/(Table1123[[#This Row],[b (mm)]]*AC10)</f>
        <v>9.2751081393289882E-4</v>
      </c>
      <c r="M10" s="8">
        <f>Table1123[[#This Row],[M (KN.mm)]]/(Table1123[[#This Row],[b (mm)]]*Table1123[[#This Row],[d (mm)]])</f>
        <v>1.713733905579399</v>
      </c>
      <c r="N10" s="8">
        <f>Table1123[[#This Row],[M (KN.mm)]]/(Table1123[[#This Row],[b (mm)]]*Table1123[[#This Row],[h (mm)]])</f>
        <v>1.4709790184484217</v>
      </c>
      <c r="O10" s="8">
        <f>Table1123[[#This Row],[M (KN.mm)]]/(Table1123[[#This Row],[b (mm)]]*Table1123[[#This Row],[h (mm)]]*Table1123[[#This Row],[L(mm)]])</f>
        <v>3.9756189687795179E-4</v>
      </c>
      <c r="P10" s="8">
        <f>Table1123[[#This Row],[M (KN.mm)]]/(Table1123[[#This Row],[b (mm)]]*Table1123[[#This Row],[d (mm)]]*Table1123[[#This Row],[L(mm)]])</f>
        <v>4.6317132583226998E-4</v>
      </c>
      <c r="Q10" s="8">
        <f>Table1123[[#This Row],[M (KN.mm)]]/(Table1123[[#This Row],[b (mm)]]*Table1123[[#This Row],[h (mm)]]*Table1123[[#This Row],[L(mm)]]*Table1123[[#This Row],[fc (Mpa)]])</f>
        <v>1.068714776553634E-5</v>
      </c>
      <c r="R10" s="8">
        <f>Table1123[[#This Row],[M (KN.mm)]]/(Table1123[[#This Row],[b (mm)]]*Table1123[[#This Row],[h (mm)]]*Table1123[[#This Row],[L(mm)]]/2)</f>
        <v>7.9512379375590357E-4</v>
      </c>
      <c r="S10" s="8">
        <f>Table1123[[#This Row],[M (KN.mm)]]/(Table1123[[#This Row],[a (mm)]]*Table1123[[#This Row],[b (mm)]]*Table1123[[#This Row],[h (mm)]]*Table1123[[#This Row],[L(mm)]]/2)</f>
        <v>4.3033863934355367E-7</v>
      </c>
      <c r="T10" s="8">
        <f>G10/($AN$5*AK10*0.001*Table1123[[#This Row],[pho (%)]])</f>
        <v>1.1277918475174539E-6</v>
      </c>
      <c r="U10" s="8">
        <f>Table1123[[#This Row],[M (KN.mm)]]/(Table1123[[#This Row],[b (mm)]]*Table1123[[#This Row],[d (mm)]]*Table1123[[#This Row],[pho (%)]])</f>
        <v>1.0140437311120705</v>
      </c>
      <c r="V10" s="8">
        <f>E10*224.8/(2*SQRT(Table1123[[#This Row],[fc (Mpa)]]*145.037)*Table1123[[#This Row],[b (mm)]]*Table1123[[#This Row],[d (mm)]]*(1/25.4)^2)</f>
        <v>0.91567604401899394</v>
      </c>
      <c r="W10" s="8">
        <f>Table1123[[#This Row],[M (KN.mm)]]/$G$13</f>
        <v>0.66666666666666674</v>
      </c>
      <c r="X10" s="8">
        <f>E10*224.8/(2*SQRT(Table1123[[#This Row],[fc (Mpa)]]*145.037)*Table1123[[#This Row],[b (mm)]]*Table1123[[#This Row],[d (mm)]]*(1/25.4)^2+Table1123[[#This Row],[Av fy d/s (N)]]*0.2248)</f>
        <v>0.60624608460859708</v>
      </c>
      <c r="Y10" s="15">
        <v>0.51700000000000002</v>
      </c>
      <c r="Z10" s="8">
        <f>Table1123[[#This Row],[Av fy/(b S) (Mpa)]]*Table1123[[#This Row],[d (mm)]]*Table1123[[#This Row],[b (mm)]]</f>
        <v>306573.245</v>
      </c>
      <c r="AA10" s="8">
        <f>Table1123[[#This Row],[d (mm)]]/300</f>
        <v>1.6966666666666668</v>
      </c>
      <c r="AB10" s="8">
        <f>Table1123[[#This Row],[a/d]]*Table1123[[#This Row],[d]]</f>
        <v>1847.6699999999998</v>
      </c>
      <c r="AC10" s="8">
        <f>Table1123[[#This Row],[d]]</f>
        <v>509</v>
      </c>
      <c r="AD10" s="15">
        <v>593</v>
      </c>
      <c r="AE10" s="15">
        <v>1165</v>
      </c>
      <c r="AF10" s="15">
        <v>37.200000000000003</v>
      </c>
      <c r="AG10" s="8">
        <f>Table1123[[#This Row],[pho (%)]]/100*Table1123[[#This Row],[b (mm)]]*Table1123[[#This Row],[d (mm)]]</f>
        <v>10021.446499999998</v>
      </c>
      <c r="AH10" s="15">
        <v>1.69</v>
      </c>
      <c r="AI10" s="8">
        <v>465</v>
      </c>
      <c r="AJ10" s="8">
        <f>(1/3-0.21*(MIN(Table1123[[#This Row],[b (mm)]],AD10)/MAX(Table1123[[#This Row],[b (mm)]],AD10))*(MIN(Table1123[[#This Row],[b (mm)]],AD10)^4/(12*MAX(Table1123[[#This Row],[b (mm)]],AD10)^4)))*MAX(Table1123[[#This Row],[b (mm)]],AD10)*MIN(Table1123[[#This Row],[b (mm)]],AD10)^3</f>
        <v>80833049153.821777</v>
      </c>
      <c r="AK10" s="8">
        <f>Table1123[[#This Row],[b (mm)]]*AD10^3/12</f>
        <v>20244579450.416668</v>
      </c>
      <c r="AL10" s="8">
        <v>3700</v>
      </c>
      <c r="AM10" s="12"/>
      <c r="AN10" s="6"/>
    </row>
    <row r="11" spans="1:42" x14ac:dyDescent="0.25">
      <c r="A11" s="28" t="s">
        <v>132</v>
      </c>
      <c r="B11" s="15">
        <v>4</v>
      </c>
      <c r="C11" s="3">
        <v>10</v>
      </c>
      <c r="D11" s="15">
        <v>3.63</v>
      </c>
      <c r="E11" s="15">
        <v>700</v>
      </c>
      <c r="F11" s="15">
        <v>509</v>
      </c>
      <c r="G11" s="8">
        <f t="shared" si="4"/>
        <v>1293369</v>
      </c>
      <c r="H11" s="8">
        <f t="shared" si="5"/>
        <v>2.425777737478451E-6</v>
      </c>
      <c r="I11" s="8">
        <f>G11/(Table1123[[#This Row],[b (mm)]]*AC11^2)</f>
        <v>4.2850999603699924E-3</v>
      </c>
      <c r="J11" s="8">
        <f t="shared" si="6"/>
        <v>0.54528217348985086</v>
      </c>
      <c r="K11" s="8">
        <f t="shared" si="7"/>
        <v>2.7579058150028026E-7</v>
      </c>
      <c r="L11" s="8">
        <f>E11/(Table1123[[#This Row],[b (mm)]]*AC11)</f>
        <v>1.1804683086418712E-3</v>
      </c>
      <c r="M11" s="8">
        <f>Table1123[[#This Row],[M (KN.mm)]]/(Table1123[[#This Row],[b (mm)]]*Table1123[[#This Row],[d (mm)]])</f>
        <v>2.1811158798283263</v>
      </c>
      <c r="N11" s="8">
        <f>Table1123[[#This Row],[M (KN.mm)]]/(Table1123[[#This Row],[b (mm)]]*Table1123[[#This Row],[h (mm)]])</f>
        <v>1.8721551143889006</v>
      </c>
      <c r="O11" s="8">
        <f>Table1123[[#This Row],[M (KN.mm)]]/(Table1123[[#This Row],[b (mm)]]*Table1123[[#This Row],[h (mm)]]*Table1123[[#This Row],[L(mm)]])</f>
        <v>5.0598786875375693E-4</v>
      </c>
      <c r="P11" s="8">
        <f>Table1123[[#This Row],[M (KN.mm)]]/(Table1123[[#This Row],[b (mm)]]*Table1123[[#This Row],[d (mm)]]*Table1123[[#This Row],[L(mm)]])</f>
        <v>5.8949077833198005E-4</v>
      </c>
      <c r="Q11" s="8">
        <f>Table1123[[#This Row],[M (KN.mm)]]/(Table1123[[#This Row],[b (mm)]]*Table1123[[#This Row],[h (mm)]]*Table1123[[#This Row],[L(mm)]]*Table1123[[#This Row],[fc (Mpa)]])</f>
        <v>1.3601824428864433E-5</v>
      </c>
      <c r="R11" s="8">
        <f>Table1123[[#This Row],[M (KN.mm)]]/(Table1123[[#This Row],[b (mm)]]*Table1123[[#This Row],[h (mm)]]*Table1123[[#This Row],[L(mm)]]/2)</f>
        <v>1.0119757375075139E-3</v>
      </c>
      <c r="S11" s="8">
        <f>Table1123[[#This Row],[M (KN.mm)]]/(Table1123[[#This Row],[a (mm)]]*Table1123[[#This Row],[b (mm)]]*Table1123[[#This Row],[h (mm)]]*Table1123[[#This Row],[L(mm)]]/2)</f>
        <v>5.477037228008865E-7</v>
      </c>
      <c r="T11" s="8">
        <f>G11/($AN$5*AK11*0.001*Table1123[[#This Row],[pho (%)]])</f>
        <v>1.4353714422949415E-6</v>
      </c>
      <c r="U11" s="8">
        <f>Table1123[[#This Row],[M (KN.mm)]]/(Table1123[[#This Row],[b (mm)]]*Table1123[[#This Row],[d (mm)]]*Table1123[[#This Row],[pho (%)]])</f>
        <v>1.2906011123244534</v>
      </c>
      <c r="V11" s="8">
        <f>E11*224.8/(2*SQRT(Table1123[[#This Row],[fc (Mpa)]]*145.037)*Table1123[[#This Row],[b (mm)]]*Table1123[[#This Row],[d (mm)]]*(1/25.4)^2)</f>
        <v>1.1654058742059923</v>
      </c>
      <c r="W11" s="8">
        <f>Table1123[[#This Row],[M (KN.mm)]]/$G$13</f>
        <v>0.84848484848484862</v>
      </c>
      <c r="X11" s="8">
        <f>E11*224.8/(2*SQRT(Table1123[[#This Row],[fc (Mpa)]]*145.037)*Table1123[[#This Row],[b (mm)]]*Table1123[[#This Row],[d (mm)]]*(1/25.4)^2+Table1123[[#This Row],[Av fy d/s (N)]]*0.2248)</f>
        <v>0.77158592586548713</v>
      </c>
      <c r="Y11" s="15">
        <v>0.51700000000000002</v>
      </c>
      <c r="Z11" s="8">
        <f>Table1123[[#This Row],[Av fy/(b S) (Mpa)]]*Table1123[[#This Row],[d (mm)]]*Table1123[[#This Row],[b (mm)]]</f>
        <v>306573.245</v>
      </c>
      <c r="AA11" s="8">
        <f>Table1123[[#This Row],[d (mm)]]/300</f>
        <v>1.6966666666666668</v>
      </c>
      <c r="AB11" s="8">
        <f>Table1123[[#This Row],[a/d]]*Table1123[[#This Row],[d]]</f>
        <v>1847.6699999999998</v>
      </c>
      <c r="AC11" s="8">
        <f>Table1123[[#This Row],[d]]</f>
        <v>509</v>
      </c>
      <c r="AD11" s="15">
        <v>593</v>
      </c>
      <c r="AE11" s="15">
        <v>1165</v>
      </c>
      <c r="AF11" s="15">
        <v>37.200000000000003</v>
      </c>
      <c r="AG11" s="8">
        <f>Table1123[[#This Row],[pho (%)]]/100*Table1123[[#This Row],[b (mm)]]*Table1123[[#This Row],[d (mm)]]</f>
        <v>10021.446499999998</v>
      </c>
      <c r="AH11" s="15">
        <v>1.69</v>
      </c>
      <c r="AI11" s="8">
        <v>465</v>
      </c>
      <c r="AJ11" s="8">
        <f>(1/3-0.21*(MIN(Table1123[[#This Row],[b (mm)]],AD11)/MAX(Table1123[[#This Row],[b (mm)]],AD11))*(MIN(Table1123[[#This Row],[b (mm)]],AD11)^4/(12*MAX(Table1123[[#This Row],[b (mm)]],AD11)^4)))*MAX(Table1123[[#This Row],[b (mm)]],AD11)*MIN(Table1123[[#This Row],[b (mm)]],AD11)^3</f>
        <v>80833049153.821777</v>
      </c>
      <c r="AK11" s="8">
        <f>Table1123[[#This Row],[b (mm)]]*AD11^3/12</f>
        <v>20244579450.416668</v>
      </c>
      <c r="AL11" s="8">
        <v>3700</v>
      </c>
      <c r="AM11" s="12"/>
      <c r="AN11" s="6"/>
    </row>
    <row r="12" spans="1:42" x14ac:dyDescent="0.25">
      <c r="A12" s="28" t="s">
        <v>132</v>
      </c>
      <c r="B12" s="15">
        <v>5</v>
      </c>
      <c r="C12" s="3">
        <v>11</v>
      </c>
      <c r="D12" s="15">
        <v>3.63</v>
      </c>
      <c r="E12" s="15">
        <v>775</v>
      </c>
      <c r="F12" s="15">
        <v>509</v>
      </c>
      <c r="G12" s="8">
        <f t="shared" si="4"/>
        <v>1431944.2499999998</v>
      </c>
      <c r="H12" s="8">
        <f t="shared" si="5"/>
        <v>2.6856824950654275E-6</v>
      </c>
      <c r="I12" s="8">
        <f>G12/(Table1123[[#This Row],[b (mm)]]*AC12^2)</f>
        <v>4.7442178132667771E-3</v>
      </c>
      <c r="J12" s="8">
        <f t="shared" si="6"/>
        <v>0.60370526350662046</v>
      </c>
      <c r="K12" s="8">
        <f t="shared" si="7"/>
        <v>3.0533957237531028E-7</v>
      </c>
      <c r="L12" s="8">
        <f>E12/(Table1123[[#This Row],[b (mm)]]*AC12)</f>
        <v>1.3069470559963574E-3</v>
      </c>
      <c r="M12" s="8">
        <f>Table1123[[#This Row],[M (KN.mm)]]/(Table1123[[#This Row],[b (mm)]]*Table1123[[#This Row],[d (mm)]])</f>
        <v>2.4148068669527891</v>
      </c>
      <c r="N12" s="8">
        <f>Table1123[[#This Row],[M (KN.mm)]]/(Table1123[[#This Row],[b (mm)]]*Table1123[[#This Row],[h (mm)]])</f>
        <v>2.0727431623591395</v>
      </c>
      <c r="O12" s="8">
        <f>Table1123[[#This Row],[M (KN.mm)]]/(Table1123[[#This Row],[b (mm)]]*Table1123[[#This Row],[h (mm)]]*Table1123[[#This Row],[L(mm)]])</f>
        <v>5.6020085469165931E-4</v>
      </c>
      <c r="P12" s="8">
        <f>Table1123[[#This Row],[M (KN.mm)]]/(Table1123[[#This Row],[b (mm)]]*Table1123[[#This Row],[d (mm)]]*Table1123[[#This Row],[L(mm)]])</f>
        <v>6.5265050458183493E-4</v>
      </c>
      <c r="Q12" s="8">
        <f>Table1123[[#This Row],[M (KN.mm)]]/(Table1123[[#This Row],[b (mm)]]*Table1123[[#This Row],[h (mm)]]*Table1123[[#This Row],[L(mm)]]*Table1123[[#This Row],[fc (Mpa)]])</f>
        <v>1.5059162760528477E-5</v>
      </c>
      <c r="R12" s="8">
        <f>Table1123[[#This Row],[M (KN.mm)]]/(Table1123[[#This Row],[b (mm)]]*Table1123[[#This Row],[h (mm)]]*Table1123[[#This Row],[L(mm)]]/2)</f>
        <v>1.1204017093833186E-3</v>
      </c>
      <c r="S12" s="8">
        <f>Table1123[[#This Row],[M (KN.mm)]]/(Table1123[[#This Row],[a (mm)]]*Table1123[[#This Row],[b (mm)]]*Table1123[[#This Row],[h (mm)]]*Table1123[[#This Row],[L(mm)]]/2)</f>
        <v>6.0638626452955289E-7</v>
      </c>
      <c r="T12" s="8">
        <f>G12/($AN$5*AK12*0.001*Table1123[[#This Row],[pho (%)]])</f>
        <v>1.589161239683685E-6</v>
      </c>
      <c r="U12" s="8">
        <f>Table1123[[#This Row],[M (KN.mm)]]/(Table1123[[#This Row],[b (mm)]]*Table1123[[#This Row],[d (mm)]]*Table1123[[#This Row],[pho (%)]])</f>
        <v>1.4288798029306444</v>
      </c>
      <c r="V12" s="8">
        <f>E12*224.8/(2*SQRT(Table1123[[#This Row],[fc (Mpa)]]*145.037)*Table1123[[#This Row],[b (mm)]]*Table1123[[#This Row],[d (mm)]]*(1/25.4)^2)</f>
        <v>1.2902707892994916</v>
      </c>
      <c r="W12" s="8">
        <f>Table1123[[#This Row],[M (KN.mm)]]/$G$13</f>
        <v>0.93939393939393934</v>
      </c>
      <c r="X12" s="8">
        <f>E12*224.8/(2*SQRT(Table1123[[#This Row],[fc (Mpa)]]*145.037)*Table1123[[#This Row],[b (mm)]]*Table1123[[#This Row],[d (mm)]]*(1/25.4)^2+Table1123[[#This Row],[Av fy d/s (N)]]*0.2248)</f>
        <v>0.85425584649393227</v>
      </c>
      <c r="Y12" s="15">
        <v>0.51700000000000002</v>
      </c>
      <c r="Z12" s="8">
        <f>Table1123[[#This Row],[Av fy/(b S) (Mpa)]]*Table1123[[#This Row],[d (mm)]]*Table1123[[#This Row],[b (mm)]]</f>
        <v>306573.245</v>
      </c>
      <c r="AA12" s="8">
        <f>Table1123[[#This Row],[d (mm)]]/300</f>
        <v>1.6966666666666668</v>
      </c>
      <c r="AB12" s="8">
        <f>Table1123[[#This Row],[a/d]]*Table1123[[#This Row],[d]]</f>
        <v>1847.6699999999998</v>
      </c>
      <c r="AC12" s="8">
        <f>Table1123[[#This Row],[d]]</f>
        <v>509</v>
      </c>
      <c r="AD12" s="15">
        <v>593</v>
      </c>
      <c r="AE12" s="15">
        <v>1165</v>
      </c>
      <c r="AF12" s="15">
        <v>37.200000000000003</v>
      </c>
      <c r="AG12" s="8">
        <f>Table1123[[#This Row],[pho (%)]]/100*Table1123[[#This Row],[b (mm)]]*Table1123[[#This Row],[d (mm)]]</f>
        <v>10021.446499999998</v>
      </c>
      <c r="AH12" s="15">
        <v>1.69</v>
      </c>
      <c r="AI12" s="8">
        <v>465</v>
      </c>
      <c r="AJ12" s="8">
        <f>(1/3-0.21*(MIN(Table1123[[#This Row],[b (mm)]],AD12)/MAX(Table1123[[#This Row],[b (mm)]],AD12))*(MIN(Table1123[[#This Row],[b (mm)]],AD12)^4/(12*MAX(Table1123[[#This Row],[b (mm)]],AD12)^4)))*MAX(Table1123[[#This Row],[b (mm)]],AD12)*MIN(Table1123[[#This Row],[b (mm)]],AD12)^3</f>
        <v>80833049153.821777</v>
      </c>
      <c r="AK12" s="8">
        <f>Table1123[[#This Row],[b (mm)]]*AD12^3/12</f>
        <v>20244579450.416668</v>
      </c>
      <c r="AL12" s="8">
        <v>3700</v>
      </c>
      <c r="AM12" s="12"/>
      <c r="AN12" s="6"/>
    </row>
    <row r="13" spans="1:42" x14ac:dyDescent="0.25">
      <c r="A13" s="28" t="s">
        <v>132</v>
      </c>
      <c r="B13" s="15">
        <v>6</v>
      </c>
      <c r="C13" s="3">
        <v>12</v>
      </c>
      <c r="D13" s="15">
        <v>3.63</v>
      </c>
      <c r="E13" s="15">
        <v>825</v>
      </c>
      <c r="F13" s="15">
        <v>509</v>
      </c>
      <c r="G13" s="8">
        <f t="shared" si="4"/>
        <v>1524327.7499999998</v>
      </c>
      <c r="H13" s="8">
        <f t="shared" si="5"/>
        <v>2.8589523334567454E-6</v>
      </c>
      <c r="I13" s="8">
        <f>G13/(Table1123[[#This Row],[b (mm)]]*AC13^2)</f>
        <v>5.0502963818646329E-3</v>
      </c>
      <c r="J13" s="8">
        <f t="shared" si="6"/>
        <v>0.64265399018446689</v>
      </c>
      <c r="K13" s="8">
        <f t="shared" si="7"/>
        <v>3.2503889962533031E-7</v>
      </c>
      <c r="L13" s="8">
        <f>E13/(Table1123[[#This Row],[b (mm)]]*AC13)</f>
        <v>1.3912662208993482E-3</v>
      </c>
      <c r="M13" s="8">
        <f>Table1123[[#This Row],[M (KN.mm)]]/(Table1123[[#This Row],[b (mm)]]*Table1123[[#This Row],[d (mm)]])</f>
        <v>2.5706008583690982</v>
      </c>
      <c r="N13" s="8">
        <f>Table1123[[#This Row],[M (KN.mm)]]/(Table1123[[#This Row],[b (mm)]]*Table1123[[#This Row],[h (mm)]])</f>
        <v>2.2064685276726324</v>
      </c>
      <c r="O13" s="8">
        <f>Table1123[[#This Row],[M (KN.mm)]]/(Table1123[[#This Row],[b (mm)]]*Table1123[[#This Row],[h (mm)]]*Table1123[[#This Row],[L(mm)]])</f>
        <v>5.9634284531692771E-4</v>
      </c>
      <c r="P13" s="8">
        <f>Table1123[[#This Row],[M (KN.mm)]]/(Table1123[[#This Row],[b (mm)]]*Table1123[[#This Row],[d (mm)]]*Table1123[[#This Row],[L(mm)]])</f>
        <v>6.9475698874840492E-4</v>
      </c>
      <c r="Q13" s="8">
        <f>Table1123[[#This Row],[M (KN.mm)]]/(Table1123[[#This Row],[b (mm)]]*Table1123[[#This Row],[h (mm)]]*Table1123[[#This Row],[L(mm)]]*Table1123[[#This Row],[fc (Mpa)]])</f>
        <v>1.6030721648304509E-5</v>
      </c>
      <c r="R13" s="8">
        <f>Table1123[[#This Row],[M (KN.mm)]]/(Table1123[[#This Row],[b (mm)]]*Table1123[[#This Row],[h (mm)]]*Table1123[[#This Row],[L(mm)]]/2)</f>
        <v>1.1926856906338554E-3</v>
      </c>
      <c r="S13" s="8">
        <f>Table1123[[#This Row],[M (KN.mm)]]/(Table1123[[#This Row],[a (mm)]]*Table1123[[#This Row],[b (mm)]]*Table1123[[#This Row],[h (mm)]]*Table1123[[#This Row],[L(mm)]]/2)</f>
        <v>6.4550795901533042E-7</v>
      </c>
      <c r="T13" s="8">
        <f>G13/($AN$5*AK13*0.001*Table1123[[#This Row],[pho (%)]])</f>
        <v>1.6916877712761809E-6</v>
      </c>
      <c r="U13" s="8">
        <f>Table1123[[#This Row],[M (KN.mm)]]/(Table1123[[#This Row],[b (mm)]]*Table1123[[#This Row],[d (mm)]]*Table1123[[#This Row],[pho (%)]])</f>
        <v>1.5210655966681055</v>
      </c>
      <c r="V13" s="8">
        <f>E13*224.8/(2*SQRT(Table1123[[#This Row],[fc (Mpa)]]*145.037)*Table1123[[#This Row],[b (mm)]]*Table1123[[#This Row],[d (mm)]]*(1/25.4)^2)</f>
        <v>1.373514066028491</v>
      </c>
      <c r="W13" s="8">
        <f>Table1123[[#This Row],[M (KN.mm)]]/$G$13</f>
        <v>1</v>
      </c>
      <c r="X13" s="8">
        <f>E13*224.8/(2*SQRT(Table1123[[#This Row],[fc (Mpa)]]*145.037)*Table1123[[#This Row],[b (mm)]]*Table1123[[#This Row],[d (mm)]]*(1/25.4)^2+Table1123[[#This Row],[Av fy d/s (N)]]*0.2248)</f>
        <v>0.90936912691289562</v>
      </c>
      <c r="Y13" s="15">
        <v>0.51700000000000002</v>
      </c>
      <c r="Z13" s="8">
        <f>Table1123[[#This Row],[Av fy/(b S) (Mpa)]]*Table1123[[#This Row],[d (mm)]]*Table1123[[#This Row],[b (mm)]]</f>
        <v>306573.245</v>
      </c>
      <c r="AA13" s="8">
        <f>Table1123[[#This Row],[d (mm)]]/300</f>
        <v>1.6966666666666668</v>
      </c>
      <c r="AB13" s="8">
        <f>Table1123[[#This Row],[a/d]]*Table1123[[#This Row],[d]]</f>
        <v>1847.6699999999998</v>
      </c>
      <c r="AC13" s="8">
        <f>Table1123[[#This Row],[d]]</f>
        <v>509</v>
      </c>
      <c r="AD13" s="15">
        <v>593</v>
      </c>
      <c r="AE13" s="15">
        <v>1165</v>
      </c>
      <c r="AF13" s="15">
        <v>37.200000000000003</v>
      </c>
      <c r="AG13" s="8">
        <f>Table1123[[#This Row],[pho (%)]]/100*Table1123[[#This Row],[b (mm)]]*Table1123[[#This Row],[d (mm)]]</f>
        <v>10021.446499999998</v>
      </c>
      <c r="AH13" s="15">
        <v>1.69</v>
      </c>
      <c r="AI13" s="8">
        <v>465</v>
      </c>
      <c r="AJ13" s="8">
        <f>(1/3-0.21*(MIN(Table1123[[#This Row],[b (mm)]],AD13)/MAX(Table1123[[#This Row],[b (mm)]],AD13))*(MIN(Table1123[[#This Row],[b (mm)]],AD13)^4/(12*MAX(Table1123[[#This Row],[b (mm)]],AD13)^4)))*MAX(Table1123[[#This Row],[b (mm)]],AD13)*MIN(Table1123[[#This Row],[b (mm)]],AD13)^3</f>
        <v>80833049153.821777</v>
      </c>
      <c r="AK13" s="8">
        <f>Table1123[[#This Row],[b (mm)]]*AD13^3/12</f>
        <v>20244579450.416668</v>
      </c>
      <c r="AL13" s="8">
        <v>3700</v>
      </c>
      <c r="AM13" s="12"/>
      <c r="AN13" s="6"/>
    </row>
    <row r="14" spans="1:42" x14ac:dyDescent="0.25">
      <c r="A14" s="59" t="s">
        <v>133</v>
      </c>
      <c r="B14" s="15">
        <v>1</v>
      </c>
      <c r="C14" s="3">
        <v>13</v>
      </c>
      <c r="D14" s="15">
        <v>3.62</v>
      </c>
      <c r="E14" s="15">
        <v>250</v>
      </c>
      <c r="F14" s="15">
        <v>511</v>
      </c>
      <c r="G14" s="8">
        <f t="shared" ref="G14:G20" si="8">E14*AB14</f>
        <v>462455.00000000006</v>
      </c>
      <c r="H14" s="8">
        <f t="shared" ref="H14:H20" si="9">G14/($AN$5*AK14*0.001)</f>
        <v>8.7689207828649331E-7</v>
      </c>
      <c r="I14" s="8">
        <f>G14/(Table1123[[#This Row],[b (mm)]]*AC14^2)</f>
        <v>1.5137069931590481E-3</v>
      </c>
      <c r="J14" s="8">
        <f t="shared" ref="J14:J20" si="10">G14/(AG14*AI14*AC14*0.001)</f>
        <v>0.19492717702131845</v>
      </c>
      <c r="K14" s="8">
        <f t="shared" ref="K14:K20" si="11">E14/($AN$4*AJ14*0.001)</f>
        <v>9.9571223690299546E-8</v>
      </c>
      <c r="L14" s="8">
        <f>E14/(Table1123[[#This Row],[b (mm)]]*AC14)</f>
        <v>4.1815110308260995E-4</v>
      </c>
      <c r="M14" s="8">
        <f>Table1123[[#This Row],[M (KN.mm)]]/(Table1123[[#This Row],[b (mm)]]*Table1123[[#This Row],[d (mm)]])</f>
        <v>0.77350427350427364</v>
      </c>
      <c r="N14" s="8">
        <f>Table1123[[#This Row],[M (KN.mm)]]/(Table1123[[#This Row],[b (mm)]]*Table1123[[#This Row],[h (mm)]])</f>
        <v>0.66993336230624378</v>
      </c>
      <c r="O14" s="8">
        <f>Table1123[[#This Row],[M (KN.mm)]]/(Table1123[[#This Row],[b (mm)]]*Table1123[[#This Row],[h (mm)]]*Table1123[[#This Row],[L(mm)]])</f>
        <v>1.8106307089357939E-4</v>
      </c>
      <c r="P14" s="8">
        <f>Table1123[[#This Row],[M (KN.mm)]]/(Table1123[[#This Row],[b (mm)]]*Table1123[[#This Row],[d (mm)]]*Table1123[[#This Row],[L(mm)]])</f>
        <v>2.0905520905520908E-4</v>
      </c>
      <c r="Q14" s="8">
        <f>Table1123[[#This Row],[M (KN.mm)]]/(Table1123[[#This Row],[b (mm)]]*Table1123[[#This Row],[h (mm)]]*Table1123[[#This Row],[L(mm)]]*Table1123[[#This Row],[fc (Mpa)]])</f>
        <v>5.2029618072867639E-6</v>
      </c>
      <c r="R14" s="8">
        <f>Table1123[[#This Row],[M (KN.mm)]]/(Table1123[[#This Row],[b (mm)]]*Table1123[[#This Row],[h (mm)]]*Table1123[[#This Row],[L(mm)]]/2)</f>
        <v>3.6212614178715878E-4</v>
      </c>
      <c r="S14" s="8">
        <f>Table1123[[#This Row],[M (KN.mm)]]/(Table1123[[#This Row],[a (mm)]]*Table1123[[#This Row],[b (mm)]]*Table1123[[#This Row],[h (mm)]]*Table1123[[#This Row],[L(mm)]]/2)</f>
        <v>1.9576290762731438E-7</v>
      </c>
      <c r="T14" s="8">
        <f>G14/($AN$5*AK14*0.001*Table1123[[#This Row],[pho (%)]])</f>
        <v>5.2508507681825948E-7</v>
      </c>
      <c r="U14" s="8">
        <f>Table1123[[#This Row],[M (KN.mm)]]/(Table1123[[#This Row],[b (mm)]]*Table1123[[#This Row],[d (mm)]]*Table1123[[#This Row],[pho (%)]])</f>
        <v>0.46317621167920581</v>
      </c>
      <c r="V14" s="8">
        <f>E14*224.8/(2*SQRT(Table1123[[#This Row],[fc (Mpa)]]*145.037)*Table1123[[#This Row],[b (mm)]]*Table1123[[#This Row],[d (mm)]]*(1/25.4)^2)</f>
        <v>0.42681332080570716</v>
      </c>
      <c r="W14" s="8">
        <f>Table1123[[#This Row],[M (KN.mm)]]/$G$20</f>
        <v>0.27777777777777779</v>
      </c>
      <c r="X14" s="8">
        <f>E14*224.8/(2*SQRT(Table1123[[#This Row],[fc (Mpa)]]*145.037)*Table1123[[#This Row],[b (mm)]]*Table1123[[#This Row],[d (mm)]]*(1/25.4)^2+Table1123[[#This Row],[Av fy d/s (N)]]*0.2248)</f>
        <v>0.31329105192125462</v>
      </c>
      <c r="Y14" s="15">
        <v>0.35499999999999998</v>
      </c>
      <c r="Z14" s="8">
        <f>Table1123[[#This Row],[Av fy/(b S) (Mpa)]]*Table1123[[#This Row],[d (mm)]]*Table1123[[#This Row],[b (mm)]]</f>
        <v>212243.85</v>
      </c>
      <c r="AA14" s="8">
        <f>Table1123[[#This Row],[d (mm)]]/300</f>
        <v>1.7033333333333334</v>
      </c>
      <c r="AB14" s="8">
        <f>Table1123[[#This Row],[a/d]]*Table1123[[#This Row],[d]]</f>
        <v>1849.8200000000002</v>
      </c>
      <c r="AC14" s="8">
        <f>Table1123[[#This Row],[d]]</f>
        <v>511</v>
      </c>
      <c r="AD14" s="15">
        <v>590</v>
      </c>
      <c r="AE14" s="15">
        <v>1170</v>
      </c>
      <c r="AF14" s="15">
        <v>34.799999999999997</v>
      </c>
      <c r="AG14" s="8">
        <f>Table1123[[#This Row],[pho (%)]]/100*Table1123[[#This Row],[b (mm)]]*Table1123[[#This Row],[d (mm)]]</f>
        <v>9984.4289999999983</v>
      </c>
      <c r="AH14" s="15">
        <v>1.67</v>
      </c>
      <c r="AI14" s="8">
        <v>465</v>
      </c>
      <c r="AJ14" s="8">
        <f>(1/3-0.21*(MIN(Table1123[[#This Row],[b (mm)]],AD14)/MAX(Table1123[[#This Row],[b (mm)]],AD14))*(MIN(Table1123[[#This Row],[b (mm)]],AD14)^4/(12*MAX(Table1123[[#This Row],[b (mm)]],AD14)^4)))*MAX(Table1123[[#This Row],[b (mm)]],AD14)*MIN(Table1123[[#This Row],[b (mm)]],AD14)^3</f>
        <v>79960686877.308121</v>
      </c>
      <c r="AK14" s="8">
        <f>Table1123[[#This Row],[b (mm)]]*AD14^3/12</f>
        <v>20024452500</v>
      </c>
      <c r="AL14" s="8">
        <v>3700</v>
      </c>
      <c r="AM14" s="12"/>
      <c r="AN14" s="6"/>
    </row>
    <row r="15" spans="1:42" x14ac:dyDescent="0.25">
      <c r="A15" s="59" t="s">
        <v>133</v>
      </c>
      <c r="B15" s="15">
        <v>2</v>
      </c>
      <c r="C15" s="3">
        <v>14</v>
      </c>
      <c r="D15" s="15">
        <v>3.62</v>
      </c>
      <c r="E15" s="15">
        <v>400</v>
      </c>
      <c r="F15" s="15">
        <v>511</v>
      </c>
      <c r="G15" s="8">
        <f t="shared" si="8"/>
        <v>739928.00000000012</v>
      </c>
      <c r="H15" s="8">
        <f t="shared" si="9"/>
        <v>1.4030273252583894E-6</v>
      </c>
      <c r="I15" s="8">
        <f>G15/(Table1123[[#This Row],[b (mm)]]*AC15^2)</f>
        <v>2.4219311890544769E-3</v>
      </c>
      <c r="J15" s="8">
        <f t="shared" si="10"/>
        <v>0.31188348323410953</v>
      </c>
      <c r="K15" s="8">
        <f t="shared" si="11"/>
        <v>1.5931395790447927E-7</v>
      </c>
      <c r="L15" s="8">
        <f>E15/(Table1123[[#This Row],[b (mm)]]*AC15)</f>
        <v>6.6904176493217586E-4</v>
      </c>
      <c r="M15" s="8">
        <f>Table1123[[#This Row],[M (KN.mm)]]/(Table1123[[#This Row],[b (mm)]]*Table1123[[#This Row],[d (mm)]])</f>
        <v>1.2376068376068379</v>
      </c>
      <c r="N15" s="8">
        <f>Table1123[[#This Row],[M (KN.mm)]]/(Table1123[[#This Row],[b (mm)]]*Table1123[[#This Row],[h (mm)]])</f>
        <v>1.0718933796899901</v>
      </c>
      <c r="O15" s="8">
        <f>Table1123[[#This Row],[M (KN.mm)]]/(Table1123[[#This Row],[b (mm)]]*Table1123[[#This Row],[h (mm)]]*Table1123[[#This Row],[L(mm)]])</f>
        <v>2.8970091342972703E-4</v>
      </c>
      <c r="P15" s="8">
        <f>Table1123[[#This Row],[M (KN.mm)]]/(Table1123[[#This Row],[b (mm)]]*Table1123[[#This Row],[d (mm)]]*Table1123[[#This Row],[L(mm)]])</f>
        <v>3.3448833448833452E-4</v>
      </c>
      <c r="Q15" s="8">
        <f>Table1123[[#This Row],[M (KN.mm)]]/(Table1123[[#This Row],[b (mm)]]*Table1123[[#This Row],[h (mm)]]*Table1123[[#This Row],[L(mm)]]*Table1123[[#This Row],[fc (Mpa)]])</f>
        <v>8.3247388916588229E-6</v>
      </c>
      <c r="R15" s="8">
        <f>Table1123[[#This Row],[M (KN.mm)]]/(Table1123[[#This Row],[b (mm)]]*Table1123[[#This Row],[h (mm)]]*Table1123[[#This Row],[L(mm)]]/2)</f>
        <v>5.7940182685945407E-4</v>
      </c>
      <c r="S15" s="8">
        <f>Table1123[[#This Row],[M (KN.mm)]]/(Table1123[[#This Row],[a (mm)]]*Table1123[[#This Row],[b (mm)]]*Table1123[[#This Row],[h (mm)]]*Table1123[[#This Row],[L(mm)]]/2)</f>
        <v>3.1322065220370304E-7</v>
      </c>
      <c r="T15" s="8">
        <f>G15/($AN$5*AK15*0.001*Table1123[[#This Row],[pho (%)]])</f>
        <v>8.401361229092153E-7</v>
      </c>
      <c r="U15" s="8">
        <f>Table1123[[#This Row],[M (KN.mm)]]/(Table1123[[#This Row],[b (mm)]]*Table1123[[#This Row],[d (mm)]]*Table1123[[#This Row],[pho (%)]])</f>
        <v>0.74108193868672934</v>
      </c>
      <c r="V15" s="8">
        <f>E15*224.8/(2*SQRT(Table1123[[#This Row],[fc (Mpa)]]*145.037)*Table1123[[#This Row],[b (mm)]]*Table1123[[#This Row],[d (mm)]]*(1/25.4)^2)</f>
        <v>0.68290131328913151</v>
      </c>
      <c r="W15" s="8">
        <f>Table1123[[#This Row],[M (KN.mm)]]/$G$20</f>
        <v>0.44444444444444448</v>
      </c>
      <c r="X15" s="8">
        <f>E15*224.8/(2*SQRT(Table1123[[#This Row],[fc (Mpa)]]*145.037)*Table1123[[#This Row],[b (mm)]]*Table1123[[#This Row],[d (mm)]]*(1/25.4)^2+Table1123[[#This Row],[Av fy d/s (N)]]*0.2248)</f>
        <v>0.50126568307400732</v>
      </c>
      <c r="Y15" s="15">
        <v>0.35499999999999998</v>
      </c>
      <c r="Z15" s="8">
        <f>Table1123[[#This Row],[Av fy/(b S) (Mpa)]]*Table1123[[#This Row],[d (mm)]]*Table1123[[#This Row],[b (mm)]]</f>
        <v>212243.85</v>
      </c>
      <c r="AA15" s="8">
        <f>Table1123[[#This Row],[d (mm)]]/300</f>
        <v>1.7033333333333334</v>
      </c>
      <c r="AB15" s="8">
        <f>Table1123[[#This Row],[a/d]]*Table1123[[#This Row],[d]]</f>
        <v>1849.8200000000002</v>
      </c>
      <c r="AC15" s="8">
        <f>Table1123[[#This Row],[d]]</f>
        <v>511</v>
      </c>
      <c r="AD15" s="15">
        <v>590</v>
      </c>
      <c r="AE15" s="15">
        <v>1170</v>
      </c>
      <c r="AF15" s="15">
        <v>34.799999999999997</v>
      </c>
      <c r="AG15" s="8">
        <f>Table1123[[#This Row],[pho (%)]]/100*Table1123[[#This Row],[b (mm)]]*Table1123[[#This Row],[d (mm)]]</f>
        <v>9984.4289999999983</v>
      </c>
      <c r="AH15" s="15">
        <v>1.67</v>
      </c>
      <c r="AI15" s="8">
        <v>465</v>
      </c>
      <c r="AJ15" s="8">
        <f>(1/3-0.21*(MIN(Table1123[[#This Row],[b (mm)]],AD15)/MAX(Table1123[[#This Row],[b (mm)]],AD15))*(MIN(Table1123[[#This Row],[b (mm)]],AD15)^4/(12*MAX(Table1123[[#This Row],[b (mm)]],AD15)^4)))*MAX(Table1123[[#This Row],[b (mm)]],AD15)*MIN(Table1123[[#This Row],[b (mm)]],AD15)^3</f>
        <v>79960686877.308121</v>
      </c>
      <c r="AK15" s="8">
        <f>Table1123[[#This Row],[b (mm)]]*AD15^3/12</f>
        <v>20024452500</v>
      </c>
      <c r="AL15" s="8">
        <v>3700</v>
      </c>
      <c r="AM15" s="12"/>
      <c r="AN15" s="6"/>
    </row>
    <row r="16" spans="1:42" x14ac:dyDescent="0.25">
      <c r="A16" s="59" t="s">
        <v>133</v>
      </c>
      <c r="B16" s="15">
        <v>3</v>
      </c>
      <c r="C16" s="3">
        <v>15</v>
      </c>
      <c r="D16" s="15">
        <v>3.62</v>
      </c>
      <c r="E16" s="15">
        <v>700</v>
      </c>
      <c r="F16" s="15">
        <v>511</v>
      </c>
      <c r="G16" s="8">
        <f t="shared" si="8"/>
        <v>1294874</v>
      </c>
      <c r="H16" s="8">
        <f t="shared" si="9"/>
        <v>2.4552978192021811E-6</v>
      </c>
      <c r="I16" s="8">
        <f>G16/(Table1123[[#This Row],[b (mm)]]*AC16^2)</f>
        <v>4.2383795808453341E-3</v>
      </c>
      <c r="J16" s="8">
        <f t="shared" si="10"/>
        <v>0.54579609565969156</v>
      </c>
      <c r="K16" s="8">
        <f t="shared" si="11"/>
        <v>2.787994263328387E-7</v>
      </c>
      <c r="L16" s="8">
        <f>E16/(Table1123[[#This Row],[b (mm)]]*AC16)</f>
        <v>1.1708230886313079E-3</v>
      </c>
      <c r="M16" s="8">
        <f>Table1123[[#This Row],[M (KN.mm)]]/(Table1123[[#This Row],[b (mm)]]*Table1123[[#This Row],[d (mm)]])</f>
        <v>2.1658119658119657</v>
      </c>
      <c r="N16" s="8">
        <f>Table1123[[#This Row],[M (KN.mm)]]/(Table1123[[#This Row],[b (mm)]]*Table1123[[#This Row],[h (mm)]])</f>
        <v>1.8758134144574823</v>
      </c>
      <c r="O16" s="8">
        <f>Table1123[[#This Row],[M (KN.mm)]]/(Table1123[[#This Row],[b (mm)]]*Table1123[[#This Row],[h (mm)]]*Table1123[[#This Row],[L(mm)]])</f>
        <v>5.0697659850202227E-4</v>
      </c>
      <c r="P16" s="8">
        <f>Table1123[[#This Row],[M (KN.mm)]]/(Table1123[[#This Row],[b (mm)]]*Table1123[[#This Row],[d (mm)]]*Table1123[[#This Row],[L(mm)]])</f>
        <v>5.8535458535458539E-4</v>
      </c>
      <c r="Q16" s="8">
        <f>Table1123[[#This Row],[M (KN.mm)]]/(Table1123[[#This Row],[b (mm)]]*Table1123[[#This Row],[h (mm)]]*Table1123[[#This Row],[L(mm)]]*Table1123[[#This Row],[fc (Mpa)]])</f>
        <v>1.4568293060402938E-5</v>
      </c>
      <c r="R16" s="8">
        <f>Table1123[[#This Row],[M (KN.mm)]]/(Table1123[[#This Row],[b (mm)]]*Table1123[[#This Row],[h (mm)]]*Table1123[[#This Row],[L(mm)]]/2)</f>
        <v>1.0139531970040445E-3</v>
      </c>
      <c r="S16" s="8">
        <f>Table1123[[#This Row],[M (KN.mm)]]/(Table1123[[#This Row],[a (mm)]]*Table1123[[#This Row],[b (mm)]]*Table1123[[#This Row],[h (mm)]]*Table1123[[#This Row],[L(mm)]]/2)</f>
        <v>5.4813614135648018E-7</v>
      </c>
      <c r="T16" s="8">
        <f>G16/($AN$5*AK16*0.001*Table1123[[#This Row],[pho (%)]])</f>
        <v>1.4702382150911265E-6</v>
      </c>
      <c r="U16" s="8">
        <f>Table1123[[#This Row],[M (KN.mm)]]/(Table1123[[#This Row],[b (mm)]]*Table1123[[#This Row],[d (mm)]]*Table1123[[#This Row],[pho (%)]])</f>
        <v>1.2968933927017761</v>
      </c>
      <c r="V16" s="8">
        <f>E16*224.8/(2*SQRT(Table1123[[#This Row],[fc (Mpa)]]*145.037)*Table1123[[#This Row],[b (mm)]]*Table1123[[#This Row],[d (mm)]]*(1/25.4)^2)</f>
        <v>1.1950772982559801</v>
      </c>
      <c r="W16" s="8">
        <f>Table1123[[#This Row],[M (KN.mm)]]/$G$20</f>
        <v>0.77777777777777768</v>
      </c>
      <c r="X16" s="8">
        <f>E16*224.8/(2*SQRT(Table1123[[#This Row],[fc (Mpa)]]*145.037)*Table1123[[#This Row],[b (mm)]]*Table1123[[#This Row],[d (mm)]]*(1/25.4)^2+Table1123[[#This Row],[Av fy d/s (N)]]*0.2248)</f>
        <v>0.87721494537951283</v>
      </c>
      <c r="Y16" s="15">
        <v>0.35499999999999998</v>
      </c>
      <c r="Z16" s="8">
        <f>Table1123[[#This Row],[Av fy/(b S) (Mpa)]]*Table1123[[#This Row],[d (mm)]]*Table1123[[#This Row],[b (mm)]]</f>
        <v>212243.85</v>
      </c>
      <c r="AA16" s="8">
        <f>Table1123[[#This Row],[d (mm)]]/300</f>
        <v>1.7033333333333334</v>
      </c>
      <c r="AB16" s="8">
        <f>Table1123[[#This Row],[a/d]]*Table1123[[#This Row],[d]]</f>
        <v>1849.8200000000002</v>
      </c>
      <c r="AC16" s="8">
        <f>Table1123[[#This Row],[d]]</f>
        <v>511</v>
      </c>
      <c r="AD16" s="15">
        <v>590</v>
      </c>
      <c r="AE16" s="15">
        <v>1170</v>
      </c>
      <c r="AF16" s="15">
        <v>34.799999999999997</v>
      </c>
      <c r="AG16" s="8">
        <f>Table1123[[#This Row],[pho (%)]]/100*Table1123[[#This Row],[b (mm)]]*Table1123[[#This Row],[d (mm)]]</f>
        <v>9984.4289999999983</v>
      </c>
      <c r="AH16" s="15">
        <v>1.67</v>
      </c>
      <c r="AI16" s="8">
        <v>465</v>
      </c>
      <c r="AJ16" s="8">
        <f>(1/3-0.21*(MIN(Table1123[[#This Row],[b (mm)]],AD16)/MAX(Table1123[[#This Row],[b (mm)]],AD16))*(MIN(Table1123[[#This Row],[b (mm)]],AD16)^4/(12*MAX(Table1123[[#This Row],[b (mm)]],AD16)^4)))*MAX(Table1123[[#This Row],[b (mm)]],AD16)*MIN(Table1123[[#This Row],[b (mm)]],AD16)^3</f>
        <v>79960686877.308121</v>
      </c>
      <c r="AK16" s="8">
        <f>Table1123[[#This Row],[b (mm)]]*AD16^3/12</f>
        <v>20024452500</v>
      </c>
      <c r="AL16" s="8">
        <v>3700</v>
      </c>
      <c r="AM16" s="12"/>
      <c r="AN16" s="6"/>
    </row>
    <row r="17" spans="1:42" x14ac:dyDescent="0.25">
      <c r="A17" s="59" t="s">
        <v>133</v>
      </c>
      <c r="B17" s="15">
        <v>4</v>
      </c>
      <c r="C17" s="3">
        <v>16</v>
      </c>
      <c r="D17" s="15">
        <v>3.62</v>
      </c>
      <c r="E17" s="15">
        <v>775</v>
      </c>
      <c r="F17" s="15">
        <v>511</v>
      </c>
      <c r="G17" s="8">
        <f t="shared" si="8"/>
        <v>1433610.5000000002</v>
      </c>
      <c r="H17" s="8">
        <f t="shared" si="9"/>
        <v>2.7183654426881295E-6</v>
      </c>
      <c r="I17" s="8">
        <f>G17/(Table1123[[#This Row],[b (mm)]]*AC17^2)</f>
        <v>4.6924916787930496E-3</v>
      </c>
      <c r="J17" s="8">
        <f t="shared" si="10"/>
        <v>0.60427424876608726</v>
      </c>
      <c r="K17" s="8">
        <f t="shared" si="11"/>
        <v>3.0867079343992857E-7</v>
      </c>
      <c r="L17" s="8">
        <f>E17/(Table1123[[#This Row],[b (mm)]]*AC17)</f>
        <v>1.2962684195560908E-3</v>
      </c>
      <c r="M17" s="8">
        <f>Table1123[[#This Row],[M (KN.mm)]]/(Table1123[[#This Row],[b (mm)]]*Table1123[[#This Row],[d (mm)]])</f>
        <v>2.3978632478632482</v>
      </c>
      <c r="N17" s="8">
        <f>Table1123[[#This Row],[M (KN.mm)]]/(Table1123[[#This Row],[b (mm)]]*Table1123[[#This Row],[h (mm)]])</f>
        <v>2.0767934231493559</v>
      </c>
      <c r="O17" s="8">
        <f>Table1123[[#This Row],[M (KN.mm)]]/(Table1123[[#This Row],[b (mm)]]*Table1123[[#This Row],[h (mm)]]*Table1123[[#This Row],[L(mm)]])</f>
        <v>5.6129551977009617E-4</v>
      </c>
      <c r="P17" s="8">
        <f>Table1123[[#This Row],[M (KN.mm)]]/(Table1123[[#This Row],[b (mm)]]*Table1123[[#This Row],[d (mm)]]*Table1123[[#This Row],[L(mm)]])</f>
        <v>6.4807114807114818E-4</v>
      </c>
      <c r="Q17" s="8">
        <f>Table1123[[#This Row],[M (KN.mm)]]/(Table1123[[#This Row],[b (mm)]]*Table1123[[#This Row],[h (mm)]]*Table1123[[#This Row],[L(mm)]]*Table1123[[#This Row],[fc (Mpa)]])</f>
        <v>1.6129181602588969E-5</v>
      </c>
      <c r="R17" s="8">
        <f>Table1123[[#This Row],[M (KN.mm)]]/(Table1123[[#This Row],[b (mm)]]*Table1123[[#This Row],[h (mm)]]*Table1123[[#This Row],[L(mm)]]/2)</f>
        <v>1.1225910395401923E-3</v>
      </c>
      <c r="S17" s="8">
        <f>Table1123[[#This Row],[M (KN.mm)]]/(Table1123[[#This Row],[a (mm)]]*Table1123[[#This Row],[b (mm)]]*Table1123[[#This Row],[h (mm)]]*Table1123[[#This Row],[L(mm)]]/2)</f>
        <v>6.0686501364467465E-7</v>
      </c>
      <c r="T17" s="8">
        <f>G17/($AN$5*AK17*0.001*Table1123[[#This Row],[pho (%)]])</f>
        <v>1.6277637381366047E-6</v>
      </c>
      <c r="U17" s="8">
        <f>Table1123[[#This Row],[M (KN.mm)]]/(Table1123[[#This Row],[b (mm)]]*Table1123[[#This Row],[d (mm)]]*Table1123[[#This Row],[pho (%)]])</f>
        <v>1.4358462562055381</v>
      </c>
      <c r="V17" s="8">
        <f>E17*224.8/(2*SQRT(Table1123[[#This Row],[fc (Mpa)]]*145.037)*Table1123[[#This Row],[b (mm)]]*Table1123[[#This Row],[d (mm)]]*(1/25.4)^2)</f>
        <v>1.3231212944976922</v>
      </c>
      <c r="W17" s="8">
        <f>Table1123[[#This Row],[M (KN.mm)]]/$G$20</f>
        <v>0.86111111111111116</v>
      </c>
      <c r="X17" s="8">
        <f>E17*224.8/(2*SQRT(Table1123[[#This Row],[fc (Mpa)]]*145.037)*Table1123[[#This Row],[b (mm)]]*Table1123[[#This Row],[d (mm)]]*(1/25.4)^2+Table1123[[#This Row],[Av fy d/s (N)]]*0.2248)</f>
        <v>0.97120226095588924</v>
      </c>
      <c r="Y17" s="15">
        <v>0.35499999999999998</v>
      </c>
      <c r="Z17" s="8">
        <f>Table1123[[#This Row],[Av fy/(b S) (Mpa)]]*Table1123[[#This Row],[d (mm)]]*Table1123[[#This Row],[b (mm)]]</f>
        <v>212243.85</v>
      </c>
      <c r="AA17" s="8">
        <f>Table1123[[#This Row],[d (mm)]]/300</f>
        <v>1.7033333333333334</v>
      </c>
      <c r="AB17" s="8">
        <f>Table1123[[#This Row],[a/d]]*Table1123[[#This Row],[d]]</f>
        <v>1849.8200000000002</v>
      </c>
      <c r="AC17" s="8">
        <f>Table1123[[#This Row],[d]]</f>
        <v>511</v>
      </c>
      <c r="AD17" s="15">
        <v>590</v>
      </c>
      <c r="AE17" s="15">
        <v>1170</v>
      </c>
      <c r="AF17" s="15">
        <v>34.799999999999997</v>
      </c>
      <c r="AG17" s="8">
        <f>Table1123[[#This Row],[pho (%)]]/100*Table1123[[#This Row],[b (mm)]]*Table1123[[#This Row],[d (mm)]]</f>
        <v>9984.4289999999983</v>
      </c>
      <c r="AH17" s="15">
        <v>1.67</v>
      </c>
      <c r="AI17" s="8">
        <v>465</v>
      </c>
      <c r="AJ17" s="8">
        <f>(1/3-0.21*(MIN(Table1123[[#This Row],[b (mm)]],AD17)/MAX(Table1123[[#This Row],[b (mm)]],AD17))*(MIN(Table1123[[#This Row],[b (mm)]],AD17)^4/(12*MAX(Table1123[[#This Row],[b (mm)]],AD17)^4)))*MAX(Table1123[[#This Row],[b (mm)]],AD17)*MIN(Table1123[[#This Row],[b (mm)]],AD17)^3</f>
        <v>79960686877.308121</v>
      </c>
      <c r="AK17" s="8">
        <f>Table1123[[#This Row],[b (mm)]]*AD17^3/12</f>
        <v>20024452500</v>
      </c>
      <c r="AL17" s="8">
        <v>3700</v>
      </c>
      <c r="AM17" s="12"/>
      <c r="AN17" s="6"/>
    </row>
    <row r="18" spans="1:42" s="10" customFormat="1" x14ac:dyDescent="0.25">
      <c r="A18" s="59" t="s">
        <v>133</v>
      </c>
      <c r="B18" s="15">
        <v>5</v>
      </c>
      <c r="C18" s="3">
        <v>17</v>
      </c>
      <c r="D18" s="15">
        <v>3.62</v>
      </c>
      <c r="E18" s="15">
        <v>817.5</v>
      </c>
      <c r="F18" s="15">
        <v>511</v>
      </c>
      <c r="G18" s="8">
        <f t="shared" si="8"/>
        <v>1512227.85</v>
      </c>
      <c r="H18" s="8">
        <f t="shared" si="9"/>
        <v>2.8674370959968331E-6</v>
      </c>
      <c r="I18" s="8">
        <f>G18/(Table1123[[#This Row],[b (mm)]]*AC18^2)</f>
        <v>4.9498218676300868E-3</v>
      </c>
      <c r="J18" s="8">
        <f t="shared" si="10"/>
        <v>0.63741186885971135</v>
      </c>
      <c r="K18" s="8">
        <f t="shared" si="11"/>
        <v>3.255979014672795E-7</v>
      </c>
      <c r="L18" s="8">
        <f>E18/(Table1123[[#This Row],[b (mm)]]*AC18)</f>
        <v>1.3673541070801346E-3</v>
      </c>
      <c r="M18" s="8">
        <f>Table1123[[#This Row],[M (KN.mm)]]/(Table1123[[#This Row],[b (mm)]]*Table1123[[#This Row],[d (mm)]])</f>
        <v>2.5293589743589746</v>
      </c>
      <c r="N18" s="8">
        <f>Table1123[[#This Row],[M (KN.mm)]]/(Table1123[[#This Row],[b (mm)]]*Table1123[[#This Row],[h (mm)]])</f>
        <v>2.1906820947414167</v>
      </c>
      <c r="O18" s="8">
        <f>Table1123[[#This Row],[M (KN.mm)]]/(Table1123[[#This Row],[b (mm)]]*Table1123[[#This Row],[h (mm)]]*Table1123[[#This Row],[L(mm)]])</f>
        <v>5.9207624182200456E-4</v>
      </c>
      <c r="P18" s="8">
        <f>Table1123[[#This Row],[M (KN.mm)]]/(Table1123[[#This Row],[b (mm)]]*Table1123[[#This Row],[d (mm)]]*Table1123[[#This Row],[L(mm)]])</f>
        <v>6.8361053361053366E-4</v>
      </c>
      <c r="Q18" s="8">
        <f>Table1123[[#This Row],[M (KN.mm)]]/(Table1123[[#This Row],[b (mm)]]*Table1123[[#This Row],[h (mm)]]*Table1123[[#This Row],[L(mm)]]*Table1123[[#This Row],[fc (Mpa)]])</f>
        <v>1.7013685109827717E-5</v>
      </c>
      <c r="R18" s="8">
        <f>Table1123[[#This Row],[M (KN.mm)]]/(Table1123[[#This Row],[b (mm)]]*Table1123[[#This Row],[h (mm)]]*Table1123[[#This Row],[L(mm)]]/2)</f>
        <v>1.1841524836440091E-3</v>
      </c>
      <c r="S18" s="8">
        <f>Table1123[[#This Row],[M (KN.mm)]]/(Table1123[[#This Row],[a (mm)]]*Table1123[[#This Row],[b (mm)]]*Table1123[[#This Row],[h (mm)]]*Table1123[[#This Row],[L(mm)]]/2)</f>
        <v>6.4014470794131797E-7</v>
      </c>
      <c r="T18" s="8">
        <f>G18/($AN$5*AK18*0.001*Table1123[[#This Row],[pho (%)]])</f>
        <v>1.7170282011957086E-6</v>
      </c>
      <c r="U18" s="8">
        <f>Table1123[[#This Row],[M (KN.mm)]]/(Table1123[[#This Row],[b (mm)]]*Table1123[[#This Row],[d (mm)]]*Table1123[[#This Row],[pho (%)]])</f>
        <v>1.5145862121910028</v>
      </c>
      <c r="V18" s="8">
        <f>E18*224.8/(2*SQRT(Table1123[[#This Row],[fc (Mpa)]]*145.037)*Table1123[[#This Row],[b (mm)]]*Table1123[[#This Row],[d (mm)]]*(1/25.4)^2)</f>
        <v>1.3956795590346625</v>
      </c>
      <c r="W18" s="8">
        <f>Table1123[[#This Row],[M (KN.mm)]]/$G$20</f>
        <v>0.90833333333333321</v>
      </c>
      <c r="X18" s="8">
        <f>E18*224.8/(2*SQRT(Table1123[[#This Row],[fc (Mpa)]]*145.037)*Table1123[[#This Row],[b (mm)]]*Table1123[[#This Row],[d (mm)]]*(1/25.4)^2+Table1123[[#This Row],[Av fy d/s (N)]]*0.2248)</f>
        <v>1.0244617397825024</v>
      </c>
      <c r="Y18" s="15">
        <v>0.35499999999999998</v>
      </c>
      <c r="Z18" s="8">
        <f>Table1123[[#This Row],[Av fy/(b S) (Mpa)]]*Table1123[[#This Row],[d (mm)]]*Table1123[[#This Row],[b (mm)]]</f>
        <v>212243.85</v>
      </c>
      <c r="AA18" s="8">
        <f>Table1123[[#This Row],[d (mm)]]/300</f>
        <v>1.7033333333333334</v>
      </c>
      <c r="AB18" s="8">
        <f>Table1123[[#This Row],[a/d]]*Table1123[[#This Row],[d]]</f>
        <v>1849.8200000000002</v>
      </c>
      <c r="AC18" s="8">
        <f>Table1123[[#This Row],[d]]</f>
        <v>511</v>
      </c>
      <c r="AD18" s="15">
        <v>590</v>
      </c>
      <c r="AE18" s="15">
        <v>1170</v>
      </c>
      <c r="AF18" s="15">
        <v>34.799999999999997</v>
      </c>
      <c r="AG18" s="8">
        <f>Table1123[[#This Row],[pho (%)]]/100*Table1123[[#This Row],[b (mm)]]*Table1123[[#This Row],[d (mm)]]</f>
        <v>9984.4289999999983</v>
      </c>
      <c r="AH18" s="15">
        <v>1.67</v>
      </c>
      <c r="AI18" s="8">
        <v>465</v>
      </c>
      <c r="AJ18" s="8">
        <f>(1/3-0.21*(MIN(Table1123[[#This Row],[b (mm)]],AD18)/MAX(Table1123[[#This Row],[b (mm)]],AD18))*(MIN(Table1123[[#This Row],[b (mm)]],AD18)^4/(12*MAX(Table1123[[#This Row],[b (mm)]],AD18)^4)))*MAX(Table1123[[#This Row],[b (mm)]],AD18)*MIN(Table1123[[#This Row],[b (mm)]],AD18)^3</f>
        <v>79960686877.308121</v>
      </c>
      <c r="AK18" s="8">
        <f>Table1123[[#This Row],[b (mm)]]*AD18^3/12</f>
        <v>20024452500</v>
      </c>
      <c r="AL18" s="8">
        <v>3700</v>
      </c>
      <c r="AM18" s="12"/>
      <c r="AN18" s="9"/>
      <c r="AO18" s="12"/>
      <c r="AP18" s="1"/>
    </row>
    <row r="19" spans="1:42" s="10" customFormat="1" x14ac:dyDescent="0.25">
      <c r="A19" s="59" t="s">
        <v>133</v>
      </c>
      <c r="B19" s="15">
        <v>6</v>
      </c>
      <c r="C19" s="3">
        <v>18</v>
      </c>
      <c r="D19" s="15">
        <v>3.62</v>
      </c>
      <c r="E19" s="15">
        <v>850</v>
      </c>
      <c r="F19" s="15">
        <v>511</v>
      </c>
      <c r="G19" s="8">
        <f t="shared" si="8"/>
        <v>1572347.0000000002</v>
      </c>
      <c r="H19" s="8">
        <f t="shared" si="9"/>
        <v>2.9814330661740774E-6</v>
      </c>
      <c r="I19" s="8">
        <f>G19/(Table1123[[#This Row],[b (mm)]]*AC19^2)</f>
        <v>5.1466037767407642E-3</v>
      </c>
      <c r="J19" s="8">
        <f t="shared" si="10"/>
        <v>0.66275240187248274</v>
      </c>
      <c r="K19" s="8">
        <f t="shared" si="11"/>
        <v>3.3854216054701844E-7</v>
      </c>
      <c r="L19" s="8">
        <f>E19/(Table1123[[#This Row],[b (mm)]]*AC19)</f>
        <v>1.4217137504808739E-3</v>
      </c>
      <c r="M19" s="8">
        <f>Table1123[[#This Row],[M (KN.mm)]]/(Table1123[[#This Row],[b (mm)]]*Table1123[[#This Row],[d (mm)]])</f>
        <v>2.6299145299145303</v>
      </c>
      <c r="N19" s="8">
        <f>Table1123[[#This Row],[M (KN.mm)]]/(Table1123[[#This Row],[b (mm)]]*Table1123[[#This Row],[h (mm)]])</f>
        <v>2.2777734318412288</v>
      </c>
      <c r="O19" s="8">
        <f>Table1123[[#This Row],[M (KN.mm)]]/(Table1123[[#This Row],[b (mm)]]*Table1123[[#This Row],[h (mm)]]*Table1123[[#This Row],[L(mm)]])</f>
        <v>6.1561444103816997E-4</v>
      </c>
      <c r="P19" s="8">
        <f>Table1123[[#This Row],[M (KN.mm)]]/(Table1123[[#This Row],[b (mm)]]*Table1123[[#This Row],[d (mm)]]*Table1123[[#This Row],[L(mm)]])</f>
        <v>7.1078771078771086E-4</v>
      </c>
      <c r="Q19" s="8">
        <f>Table1123[[#This Row],[M (KN.mm)]]/(Table1123[[#This Row],[b (mm)]]*Table1123[[#This Row],[h (mm)]]*Table1123[[#This Row],[L(mm)]]*Table1123[[#This Row],[fc (Mpa)]])</f>
        <v>1.7690070144775E-5</v>
      </c>
      <c r="R19" s="8">
        <f>Table1123[[#This Row],[M (KN.mm)]]/(Table1123[[#This Row],[b (mm)]]*Table1123[[#This Row],[h (mm)]]*Table1123[[#This Row],[L(mm)]]/2)</f>
        <v>1.2312288820763399E-3</v>
      </c>
      <c r="S19" s="8">
        <f>Table1123[[#This Row],[M (KN.mm)]]/(Table1123[[#This Row],[a (mm)]]*Table1123[[#This Row],[b (mm)]]*Table1123[[#This Row],[h (mm)]]*Table1123[[#This Row],[L(mm)]]/2)</f>
        <v>6.6559388593286891E-7</v>
      </c>
      <c r="T19" s="8">
        <f>G19/($AN$5*AK19*0.001*Table1123[[#This Row],[pho (%)]])</f>
        <v>1.7852892611820824E-6</v>
      </c>
      <c r="U19" s="8">
        <f>Table1123[[#This Row],[M (KN.mm)]]/(Table1123[[#This Row],[b (mm)]]*Table1123[[#This Row],[d (mm)]]*Table1123[[#This Row],[pho (%)]])</f>
        <v>1.5747991197092996</v>
      </c>
      <c r="V19" s="8">
        <f>E19*224.8/(2*SQRT(Table1123[[#This Row],[fc (Mpa)]]*145.037)*Table1123[[#This Row],[b (mm)]]*Table1123[[#This Row],[d (mm)]]*(1/25.4)^2)</f>
        <v>1.4511652907394044</v>
      </c>
      <c r="W19" s="8">
        <f>Table1123[[#This Row],[M (KN.mm)]]/$G$20</f>
        <v>0.94444444444444442</v>
      </c>
      <c r="X19" s="8">
        <f>E19*224.8/(2*SQRT(Table1123[[#This Row],[fc (Mpa)]]*145.037)*Table1123[[#This Row],[b (mm)]]*Table1123[[#This Row],[d (mm)]]*(1/25.4)^2+Table1123[[#This Row],[Av fy d/s (N)]]*0.2248)</f>
        <v>1.0651895765322656</v>
      </c>
      <c r="Y19" s="15">
        <v>0.35499999999999998</v>
      </c>
      <c r="Z19" s="8">
        <f>Table1123[[#This Row],[Av fy/(b S) (Mpa)]]*Table1123[[#This Row],[d (mm)]]*Table1123[[#This Row],[b (mm)]]</f>
        <v>212243.85</v>
      </c>
      <c r="AA19" s="8">
        <f>Table1123[[#This Row],[d (mm)]]/300</f>
        <v>1.7033333333333334</v>
      </c>
      <c r="AB19" s="8">
        <f>Table1123[[#This Row],[a/d]]*Table1123[[#This Row],[d]]</f>
        <v>1849.8200000000002</v>
      </c>
      <c r="AC19" s="8">
        <f>Table1123[[#This Row],[d]]</f>
        <v>511</v>
      </c>
      <c r="AD19" s="15">
        <v>590</v>
      </c>
      <c r="AE19" s="15">
        <v>1170</v>
      </c>
      <c r="AF19" s="15">
        <v>34.799999999999997</v>
      </c>
      <c r="AG19" s="8">
        <f>Table1123[[#This Row],[pho (%)]]/100*Table1123[[#This Row],[b (mm)]]*Table1123[[#This Row],[d (mm)]]</f>
        <v>9984.4289999999983</v>
      </c>
      <c r="AH19" s="15">
        <v>1.67</v>
      </c>
      <c r="AI19" s="8">
        <v>465</v>
      </c>
      <c r="AJ19" s="8">
        <f>(1/3-0.21*(MIN(Table1123[[#This Row],[b (mm)]],AD19)/MAX(Table1123[[#This Row],[b (mm)]],AD19))*(MIN(Table1123[[#This Row],[b (mm)]],AD19)^4/(12*MAX(Table1123[[#This Row],[b (mm)]],AD19)^4)))*MAX(Table1123[[#This Row],[b (mm)]],AD19)*MIN(Table1123[[#This Row],[b (mm)]],AD19)^3</f>
        <v>79960686877.308121</v>
      </c>
      <c r="AK19" s="8">
        <f>Table1123[[#This Row],[b (mm)]]*AD19^3/12</f>
        <v>20024452500</v>
      </c>
      <c r="AL19" s="8">
        <v>3700</v>
      </c>
      <c r="AM19" s="12"/>
      <c r="AN19" s="9"/>
      <c r="AO19" s="12"/>
      <c r="AP19" s="1"/>
    </row>
    <row r="20" spans="1:42" s="10" customFormat="1" x14ac:dyDescent="0.25">
      <c r="A20" s="59" t="s">
        <v>133</v>
      </c>
      <c r="B20" s="15">
        <v>7</v>
      </c>
      <c r="C20" s="3">
        <v>19</v>
      </c>
      <c r="D20" s="15">
        <v>3.62</v>
      </c>
      <c r="E20" s="15">
        <v>900</v>
      </c>
      <c r="F20" s="15">
        <v>511</v>
      </c>
      <c r="G20" s="8">
        <f t="shared" si="8"/>
        <v>1664838.0000000002</v>
      </c>
      <c r="H20" s="8">
        <f t="shared" si="9"/>
        <v>3.156811481831376E-6</v>
      </c>
      <c r="I20" s="8">
        <f>G20/(Table1123[[#This Row],[b (mm)]]*AC20^2)</f>
        <v>5.4493451753725736E-3</v>
      </c>
      <c r="J20" s="8">
        <f t="shared" si="10"/>
        <v>0.70173783727674643</v>
      </c>
      <c r="K20" s="8">
        <f t="shared" si="11"/>
        <v>3.5845640528507834E-7</v>
      </c>
      <c r="L20" s="8">
        <f>E20/(Table1123[[#This Row],[b (mm)]]*AC20)</f>
        <v>1.5053439710973958E-3</v>
      </c>
      <c r="M20" s="8">
        <f>Table1123[[#This Row],[M (KN.mm)]]/(Table1123[[#This Row],[b (mm)]]*Table1123[[#This Row],[d (mm)]])</f>
        <v>2.7846153846153849</v>
      </c>
      <c r="N20" s="8">
        <f>Table1123[[#This Row],[M (KN.mm)]]/(Table1123[[#This Row],[b (mm)]]*Table1123[[#This Row],[h (mm)]])</f>
        <v>2.4117601043024774</v>
      </c>
      <c r="O20" s="8">
        <f>Table1123[[#This Row],[M (KN.mm)]]/(Table1123[[#This Row],[b (mm)]]*Table1123[[#This Row],[h (mm)]]*Table1123[[#This Row],[L(mm)]])</f>
        <v>6.5182705521688586E-4</v>
      </c>
      <c r="P20" s="8">
        <f>Table1123[[#This Row],[M (KN.mm)]]/(Table1123[[#This Row],[b (mm)]]*Table1123[[#This Row],[d (mm)]]*Table1123[[#This Row],[L(mm)]])</f>
        <v>7.5259875259875268E-4</v>
      </c>
      <c r="Q20" s="8">
        <f>Table1123[[#This Row],[M (KN.mm)]]/(Table1123[[#This Row],[b (mm)]]*Table1123[[#This Row],[h (mm)]]*Table1123[[#This Row],[L(mm)]]*Table1123[[#This Row],[fc (Mpa)]])</f>
        <v>1.8730662506232351E-5</v>
      </c>
      <c r="R20" s="8">
        <f>Table1123[[#This Row],[M (KN.mm)]]/(Table1123[[#This Row],[b (mm)]]*Table1123[[#This Row],[h (mm)]]*Table1123[[#This Row],[L(mm)]]/2)</f>
        <v>1.3036541104337717E-3</v>
      </c>
      <c r="S20" s="8">
        <f>Table1123[[#This Row],[M (KN.mm)]]/(Table1123[[#This Row],[a (mm)]]*Table1123[[#This Row],[b (mm)]]*Table1123[[#This Row],[h (mm)]]*Table1123[[#This Row],[L(mm)]]/2)</f>
        <v>7.0474646745833186E-7</v>
      </c>
      <c r="T20" s="8">
        <f>G20/($AN$5*AK20*0.001*Table1123[[#This Row],[pho (%)]])</f>
        <v>1.8903062765457343E-6</v>
      </c>
      <c r="U20" s="8">
        <f>Table1123[[#This Row],[M (KN.mm)]]/(Table1123[[#This Row],[b (mm)]]*Table1123[[#This Row],[d (mm)]]*Table1123[[#This Row],[pho (%)]])</f>
        <v>1.6674343620451408</v>
      </c>
      <c r="V20" s="8">
        <f>E20*224.8/(2*SQRT(Table1123[[#This Row],[fc (Mpa)]]*145.037)*Table1123[[#This Row],[b (mm)]]*Table1123[[#This Row],[d (mm)]]*(1/25.4)^2)</f>
        <v>1.5365279549005457</v>
      </c>
      <c r="W20" s="8">
        <f>Table1123[[#This Row],[M (KN.mm)]]/$G$20</f>
        <v>1</v>
      </c>
      <c r="X20" s="8">
        <f>E20*224.8/(2*SQRT(Table1123[[#This Row],[fc (Mpa)]]*145.037)*Table1123[[#This Row],[b (mm)]]*Table1123[[#This Row],[d (mm)]]*(1/25.4)^2+Table1123[[#This Row],[Av fy d/s (N)]]*0.2248)</f>
        <v>1.1278477869165167</v>
      </c>
      <c r="Y20" s="15">
        <v>0.35499999999999998</v>
      </c>
      <c r="Z20" s="8">
        <f>Table1123[[#This Row],[Av fy/(b S) (Mpa)]]*Table1123[[#This Row],[d (mm)]]*Table1123[[#This Row],[b (mm)]]</f>
        <v>212243.85</v>
      </c>
      <c r="AA20" s="8">
        <f>Table1123[[#This Row],[d (mm)]]/300</f>
        <v>1.7033333333333334</v>
      </c>
      <c r="AB20" s="8">
        <f>Table1123[[#This Row],[a/d]]*Table1123[[#This Row],[d]]</f>
        <v>1849.8200000000002</v>
      </c>
      <c r="AC20" s="8">
        <f>Table1123[[#This Row],[d]]</f>
        <v>511</v>
      </c>
      <c r="AD20" s="15">
        <v>590</v>
      </c>
      <c r="AE20" s="15">
        <v>1170</v>
      </c>
      <c r="AF20" s="15">
        <v>34.799999999999997</v>
      </c>
      <c r="AG20" s="8">
        <f>Table1123[[#This Row],[pho (%)]]/100*Table1123[[#This Row],[b (mm)]]*Table1123[[#This Row],[d (mm)]]</f>
        <v>9984.4289999999983</v>
      </c>
      <c r="AH20" s="15">
        <v>1.67</v>
      </c>
      <c r="AI20" s="8">
        <v>465</v>
      </c>
      <c r="AJ20" s="8">
        <f>(1/3-0.21*(MIN(Table1123[[#This Row],[b (mm)]],AD20)/MAX(Table1123[[#This Row],[b (mm)]],AD20))*(MIN(Table1123[[#This Row],[b (mm)]],AD20)^4/(12*MAX(Table1123[[#This Row],[b (mm)]],AD20)^4)))*MAX(Table1123[[#This Row],[b (mm)]],AD20)*MIN(Table1123[[#This Row],[b (mm)]],AD20)^3</f>
        <v>79960686877.308121</v>
      </c>
      <c r="AK20" s="8">
        <f>Table1123[[#This Row],[b (mm)]]*AD20^3/12</f>
        <v>20024452500</v>
      </c>
      <c r="AL20" s="8">
        <v>3700</v>
      </c>
      <c r="AM20" s="12"/>
      <c r="AN20" s="9"/>
      <c r="AO20" s="12"/>
      <c r="AP20" s="1"/>
    </row>
    <row r="21" spans="1:42" s="10" customFormat="1" x14ac:dyDescent="0.25">
      <c r="A21" s="30" t="s">
        <v>134</v>
      </c>
      <c r="B21" s="15">
        <v>1</v>
      </c>
      <c r="C21" s="3">
        <v>20</v>
      </c>
      <c r="D21" s="15">
        <v>3.61</v>
      </c>
      <c r="E21" s="15">
        <v>100</v>
      </c>
      <c r="F21" s="15">
        <v>512</v>
      </c>
      <c r="G21" s="8">
        <f t="shared" ref="G21:G29" si="12">E21*AB21</f>
        <v>184832</v>
      </c>
      <c r="H21" s="8">
        <f t="shared" ref="H21:H29" si="13">G21/($AN$5*AK21*0.001)</f>
        <v>3.486963669980047E-7</v>
      </c>
      <c r="I21" s="8">
        <f>G21/(Table1123[[#This Row],[b (mm)]]*AC21^2)</f>
        <v>6.026308760683761E-4</v>
      </c>
      <c r="J21" s="8">
        <f t="shared" ref="J21:J29" si="14">G21/(AG21*AI21*AC21*0.001)</f>
        <v>7.7603615487525104E-2</v>
      </c>
      <c r="K21" s="8">
        <f t="shared" ref="K21:K29" si="15">E21/($AN$4*AJ21*0.001)</f>
        <v>3.9627234153485933E-8</v>
      </c>
      <c r="L21" s="8">
        <f>E21/(Table1123[[#This Row],[b (mm)]]*AC21)</f>
        <v>1.6693376068376069E-4</v>
      </c>
      <c r="M21" s="8">
        <f>Table1123[[#This Row],[M (KN.mm)]]/(Table1123[[#This Row],[b (mm)]]*Table1123[[#This Row],[d (mm)]])</f>
        <v>0.30854700854700856</v>
      </c>
      <c r="N21" s="8">
        <f>Table1123[[#This Row],[M (KN.mm)]]/(Table1123[[#This Row],[b (mm)]]*Table1123[[#This Row],[h (mm)]])</f>
        <v>0.26730299217608861</v>
      </c>
      <c r="O21" s="8">
        <f>Table1123[[#This Row],[M (KN.mm)]]/(Table1123[[#This Row],[b (mm)]]*Table1123[[#This Row],[h (mm)]]*Table1123[[#This Row],[L(mm)]])</f>
        <v>7.2244051939483416E-5</v>
      </c>
      <c r="P21" s="8">
        <f>Table1123[[#This Row],[M (KN.mm)]]/(Table1123[[#This Row],[b (mm)]]*Table1123[[#This Row],[d (mm)]]*Table1123[[#This Row],[L(mm)]])</f>
        <v>8.3391083391083388E-5</v>
      </c>
      <c r="Q21" s="8">
        <f>Table1123[[#This Row],[M (KN.mm)]]/(Table1123[[#This Row],[b (mm)]]*Table1123[[#This Row],[h (mm)]]*Table1123[[#This Row],[L(mm)]]*Table1123[[#This Row],[fc (Mpa)]])</f>
        <v>2.0179902776392013E-6</v>
      </c>
      <c r="R21" s="8">
        <f>Table1123[[#This Row],[M (KN.mm)]]/(Table1123[[#This Row],[b (mm)]]*Table1123[[#This Row],[h (mm)]]*Table1123[[#This Row],[L(mm)]]/2)</f>
        <v>1.4448810387896683E-4</v>
      </c>
      <c r="S21" s="8">
        <f>Table1123[[#This Row],[M (KN.mm)]]/(Table1123[[#This Row],[a (mm)]]*Table1123[[#This Row],[b (mm)]]*Table1123[[#This Row],[h (mm)]]*Table1123[[#This Row],[L(mm)]]/2)</f>
        <v>7.8172667005154332E-8</v>
      </c>
      <c r="T21" s="8">
        <f>G21/($AN$5*AK21*0.001*Table1123[[#This Row],[pho (%)]])</f>
        <v>2.0880021975928424E-7</v>
      </c>
      <c r="U21" s="8">
        <f>Table1123[[#This Row],[M (KN.mm)]]/(Table1123[[#This Row],[b (mm)]]*Table1123[[#This Row],[d (mm)]]*Table1123[[#This Row],[pho (%)]])</f>
        <v>0.18475868775269974</v>
      </c>
      <c r="V21" s="8">
        <f>E21*224.8/(2*SQRT(Table1123[[#This Row],[fc (Mpa)]]*145.037)*Table1123[[#This Row],[b (mm)]]*Table1123[[#This Row],[d (mm)]]*(1/25.4)^2)</f>
        <v>0.16799525077419408</v>
      </c>
      <c r="W21" s="8">
        <f>Table1123[[#This Row],[M (KN.mm)]]/$G$29</f>
        <v>0.1</v>
      </c>
      <c r="X21" s="8">
        <f>E21*224.8/(2*SQRT(Table1123[[#This Row],[fc (Mpa)]]*145.037)*Table1123[[#This Row],[b (mm)]]*Table1123[[#This Row],[d (mm)]]*(1/25.4)^2+Table1123[[#This Row],[Av fy d/s (N)]]*0.2248)</f>
        <v>0.12377553158223899</v>
      </c>
      <c r="Y21" s="15">
        <v>0.35499999999999998</v>
      </c>
      <c r="Z21" s="8">
        <f>Table1123[[#This Row],[Av fy/(b S) (Mpa)]]*Table1123[[#This Row],[d (mm)]]*Table1123[[#This Row],[b (mm)]]</f>
        <v>212659.19999999998</v>
      </c>
      <c r="AA21" s="8">
        <f>Table1123[[#This Row],[d (mm)]]/300</f>
        <v>1.7066666666666668</v>
      </c>
      <c r="AB21" s="8">
        <f>Table1123[[#This Row],[a/d]]*Table1123[[#This Row],[d]]</f>
        <v>1848.32</v>
      </c>
      <c r="AC21" s="8">
        <f>Table1123[[#This Row],[d]]</f>
        <v>512</v>
      </c>
      <c r="AD21" s="15">
        <v>591</v>
      </c>
      <c r="AE21" s="15">
        <v>1170</v>
      </c>
      <c r="AF21" s="15">
        <v>35.799999999999997</v>
      </c>
      <c r="AG21" s="8">
        <f>Table1123[[#This Row],[pho (%)]]/100*Table1123[[#This Row],[b (mm)]]*Table1123[[#This Row],[d (mm)]]</f>
        <v>10003.967999999999</v>
      </c>
      <c r="AH21" s="15">
        <v>1.67</v>
      </c>
      <c r="AI21" s="8">
        <v>465</v>
      </c>
      <c r="AJ21" s="8">
        <f>(1/3-0.21*(MIN(Table1123[[#This Row],[b (mm)]],AD21)/MAX(Table1123[[#This Row],[b (mm)]],AD21))*(MIN(Table1123[[#This Row],[b (mm)]],AD21)^4/(12*MAX(Table1123[[#This Row],[b (mm)]],AD21)^4)))*MAX(Table1123[[#This Row],[b (mm)]],AD21)*MIN(Table1123[[#This Row],[b (mm)]],AD21)^3</f>
        <v>80366784203.535568</v>
      </c>
      <c r="AK21" s="8">
        <f>Table1123[[#This Row],[b (mm)]]*AD21^3/12</f>
        <v>20126444422.5</v>
      </c>
      <c r="AL21" s="8">
        <v>3700</v>
      </c>
      <c r="AM21" s="12"/>
      <c r="AN21" s="9"/>
      <c r="AO21" s="12"/>
      <c r="AP21" s="1"/>
    </row>
    <row r="22" spans="1:42" s="10" customFormat="1" x14ac:dyDescent="0.25">
      <c r="A22" s="30" t="s">
        <v>134</v>
      </c>
      <c r="B22" s="15">
        <v>2</v>
      </c>
      <c r="C22" s="3">
        <v>21</v>
      </c>
      <c r="D22" s="15">
        <v>3.61</v>
      </c>
      <c r="E22" s="15">
        <v>400</v>
      </c>
      <c r="F22" s="15">
        <v>512</v>
      </c>
      <c r="G22" s="8">
        <f t="shared" si="12"/>
        <v>739328</v>
      </c>
      <c r="H22" s="8">
        <f t="shared" si="13"/>
        <v>1.3947854679920188E-6</v>
      </c>
      <c r="I22" s="8">
        <f>G22/(Table1123[[#This Row],[b (mm)]]*AC22^2)</f>
        <v>2.4105235042735044E-3</v>
      </c>
      <c r="J22" s="8">
        <f t="shared" si="14"/>
        <v>0.31041446195010042</v>
      </c>
      <c r="K22" s="8">
        <f t="shared" si="15"/>
        <v>1.5850893661394373E-7</v>
      </c>
      <c r="L22" s="8">
        <f>E22/(Table1123[[#This Row],[b (mm)]]*AC22)</f>
        <v>6.6773504273504275E-4</v>
      </c>
      <c r="M22" s="8">
        <f>Table1123[[#This Row],[M (KN.mm)]]/(Table1123[[#This Row],[b (mm)]]*Table1123[[#This Row],[d (mm)]])</f>
        <v>1.2341880341880342</v>
      </c>
      <c r="N22" s="8">
        <f>Table1123[[#This Row],[M (KN.mm)]]/(Table1123[[#This Row],[b (mm)]]*Table1123[[#This Row],[h (mm)]])</f>
        <v>1.0692119687043544</v>
      </c>
      <c r="O22" s="8">
        <f>Table1123[[#This Row],[M (KN.mm)]]/(Table1123[[#This Row],[b (mm)]]*Table1123[[#This Row],[h (mm)]]*Table1123[[#This Row],[L(mm)]])</f>
        <v>2.8897620775793367E-4</v>
      </c>
      <c r="P22" s="8">
        <f>Table1123[[#This Row],[M (KN.mm)]]/(Table1123[[#This Row],[b (mm)]]*Table1123[[#This Row],[d (mm)]]*Table1123[[#This Row],[L(mm)]])</f>
        <v>3.3356433356433355E-4</v>
      </c>
      <c r="Q22" s="8">
        <f>Table1123[[#This Row],[M (KN.mm)]]/(Table1123[[#This Row],[b (mm)]]*Table1123[[#This Row],[h (mm)]]*Table1123[[#This Row],[L(mm)]]*Table1123[[#This Row],[fc (Mpa)]])</f>
        <v>8.0719611105568053E-6</v>
      </c>
      <c r="R22" s="8">
        <f>Table1123[[#This Row],[M (KN.mm)]]/(Table1123[[#This Row],[b (mm)]]*Table1123[[#This Row],[h (mm)]]*Table1123[[#This Row],[L(mm)]]/2)</f>
        <v>5.7795241551586733E-4</v>
      </c>
      <c r="S22" s="8">
        <f>Table1123[[#This Row],[M (KN.mm)]]/(Table1123[[#This Row],[a (mm)]]*Table1123[[#This Row],[b (mm)]]*Table1123[[#This Row],[h (mm)]]*Table1123[[#This Row],[L(mm)]]/2)</f>
        <v>3.1269066802061733E-7</v>
      </c>
      <c r="T22" s="8">
        <f>G22/($AN$5*AK22*0.001*Table1123[[#This Row],[pho (%)]])</f>
        <v>8.3520087903713697E-7</v>
      </c>
      <c r="U22" s="8">
        <f>Table1123[[#This Row],[M (KN.mm)]]/(Table1123[[#This Row],[b (mm)]]*Table1123[[#This Row],[d (mm)]]*Table1123[[#This Row],[pho (%)]])</f>
        <v>0.73903475101079896</v>
      </c>
      <c r="V22" s="8">
        <f>E22*224.8/(2*SQRT(Table1123[[#This Row],[fc (Mpa)]]*145.037)*Table1123[[#This Row],[b (mm)]]*Table1123[[#This Row],[d (mm)]]*(1/25.4)^2)</f>
        <v>0.67198100309677633</v>
      </c>
      <c r="W22" s="8">
        <f>Table1123[[#This Row],[M (KN.mm)]]/$G$29</f>
        <v>0.4</v>
      </c>
      <c r="X22" s="8">
        <f>E22*224.8/(2*SQRT(Table1123[[#This Row],[fc (Mpa)]]*145.037)*Table1123[[#This Row],[b (mm)]]*Table1123[[#This Row],[d (mm)]]*(1/25.4)^2+Table1123[[#This Row],[Av fy d/s (N)]]*0.2248)</f>
        <v>0.49510212632895595</v>
      </c>
      <c r="Y22" s="15">
        <v>0.35499999999999998</v>
      </c>
      <c r="Z22" s="8">
        <f>Table1123[[#This Row],[Av fy/(b S) (Mpa)]]*Table1123[[#This Row],[d (mm)]]*Table1123[[#This Row],[b (mm)]]</f>
        <v>212659.19999999998</v>
      </c>
      <c r="AA22" s="8">
        <f>Table1123[[#This Row],[d (mm)]]/300</f>
        <v>1.7066666666666668</v>
      </c>
      <c r="AB22" s="8">
        <f>Table1123[[#This Row],[a/d]]*Table1123[[#This Row],[d]]</f>
        <v>1848.32</v>
      </c>
      <c r="AC22" s="8">
        <f>Table1123[[#This Row],[d]]</f>
        <v>512</v>
      </c>
      <c r="AD22" s="15">
        <v>591</v>
      </c>
      <c r="AE22" s="15">
        <v>1170</v>
      </c>
      <c r="AF22" s="15">
        <v>35.799999999999997</v>
      </c>
      <c r="AG22" s="8">
        <f>Table1123[[#This Row],[pho (%)]]/100*Table1123[[#This Row],[b (mm)]]*Table1123[[#This Row],[d (mm)]]</f>
        <v>10003.967999999999</v>
      </c>
      <c r="AH22" s="15">
        <v>1.67</v>
      </c>
      <c r="AI22" s="8">
        <v>465</v>
      </c>
      <c r="AJ22" s="8">
        <f>(1/3-0.21*(MIN(Table1123[[#This Row],[b (mm)]],AD22)/MAX(Table1123[[#This Row],[b (mm)]],AD22))*(MIN(Table1123[[#This Row],[b (mm)]],AD22)^4/(12*MAX(Table1123[[#This Row],[b (mm)]],AD22)^4)))*MAX(Table1123[[#This Row],[b (mm)]],AD22)*MIN(Table1123[[#This Row],[b (mm)]],AD22)^3</f>
        <v>80366784203.535568</v>
      </c>
      <c r="AK22" s="8">
        <f>Table1123[[#This Row],[b (mm)]]*AD22^3/12</f>
        <v>20126444422.5</v>
      </c>
      <c r="AL22" s="8">
        <v>3700</v>
      </c>
      <c r="AM22" s="12"/>
      <c r="AN22" s="12"/>
      <c r="AO22" s="12"/>
      <c r="AP22" s="1"/>
    </row>
    <row r="23" spans="1:42" s="10" customFormat="1" x14ac:dyDescent="0.25">
      <c r="A23" s="30" t="s">
        <v>134</v>
      </c>
      <c r="B23" s="15">
        <v>3</v>
      </c>
      <c r="C23" s="3">
        <v>22</v>
      </c>
      <c r="D23" s="15">
        <v>3.61</v>
      </c>
      <c r="E23" s="15">
        <v>700</v>
      </c>
      <c r="F23" s="15">
        <v>512</v>
      </c>
      <c r="G23" s="8">
        <f t="shared" si="12"/>
        <v>1293824</v>
      </c>
      <c r="H23" s="8">
        <f t="shared" si="13"/>
        <v>2.440874568986033E-6</v>
      </c>
      <c r="I23" s="8">
        <f>G23/(Table1123[[#This Row],[b (mm)]]*AC23^2)</f>
        <v>4.2184161324786322E-3</v>
      </c>
      <c r="J23" s="8">
        <f t="shared" si="14"/>
        <v>0.54322530841267569</v>
      </c>
      <c r="K23" s="8">
        <f t="shared" si="15"/>
        <v>2.7739063907440153E-7</v>
      </c>
      <c r="L23" s="8">
        <f>E23/(Table1123[[#This Row],[b (mm)]]*AC23)</f>
        <v>1.1685363247863248E-3</v>
      </c>
      <c r="M23" s="8">
        <f>Table1123[[#This Row],[M (KN.mm)]]/(Table1123[[#This Row],[b (mm)]]*Table1123[[#This Row],[d (mm)]])</f>
        <v>2.1598290598290597</v>
      </c>
      <c r="N23" s="8">
        <f>Table1123[[#This Row],[M (KN.mm)]]/(Table1123[[#This Row],[b (mm)]]*Table1123[[#This Row],[h (mm)]])</f>
        <v>1.8711209452326203</v>
      </c>
      <c r="O23" s="8">
        <f>Table1123[[#This Row],[M (KN.mm)]]/(Table1123[[#This Row],[b (mm)]]*Table1123[[#This Row],[h (mm)]]*Table1123[[#This Row],[L(mm)]])</f>
        <v>5.0570836357638385E-4</v>
      </c>
      <c r="P23" s="8">
        <f>Table1123[[#This Row],[M (KN.mm)]]/(Table1123[[#This Row],[b (mm)]]*Table1123[[#This Row],[d (mm)]]*Table1123[[#This Row],[L(mm)]])</f>
        <v>5.8373758373758374E-4</v>
      </c>
      <c r="Q23" s="8">
        <f>Table1123[[#This Row],[M (KN.mm)]]/(Table1123[[#This Row],[b (mm)]]*Table1123[[#This Row],[h (mm)]]*Table1123[[#This Row],[L(mm)]]*Table1123[[#This Row],[fc (Mpa)]])</f>
        <v>1.4125931943474411E-5</v>
      </c>
      <c r="R23" s="8">
        <f>Table1123[[#This Row],[M (KN.mm)]]/(Table1123[[#This Row],[b (mm)]]*Table1123[[#This Row],[h (mm)]]*Table1123[[#This Row],[L(mm)]]/2)</f>
        <v>1.0114167271527677E-3</v>
      </c>
      <c r="S23" s="8">
        <f>Table1123[[#This Row],[M (KN.mm)]]/(Table1123[[#This Row],[a (mm)]]*Table1123[[#This Row],[b (mm)]]*Table1123[[#This Row],[h (mm)]]*Table1123[[#This Row],[L(mm)]]/2)</f>
        <v>5.4720866903608035E-7</v>
      </c>
      <c r="T23" s="8">
        <f>G23/($AN$5*AK23*0.001*Table1123[[#This Row],[pho (%)]])</f>
        <v>1.4616015383149897E-6</v>
      </c>
      <c r="U23" s="8">
        <f>Table1123[[#This Row],[M (KN.mm)]]/(Table1123[[#This Row],[b (mm)]]*Table1123[[#This Row],[d (mm)]]*Table1123[[#This Row],[pho (%)]])</f>
        <v>1.2933108142688983</v>
      </c>
      <c r="V23" s="8">
        <f>E23*224.8/(2*SQRT(Table1123[[#This Row],[fc (Mpa)]]*145.037)*Table1123[[#This Row],[b (mm)]]*Table1123[[#This Row],[d (mm)]]*(1/25.4)^2)</f>
        <v>1.1759667554193587</v>
      </c>
      <c r="W23" s="8">
        <f>Table1123[[#This Row],[M (KN.mm)]]/$G$29</f>
        <v>0.7</v>
      </c>
      <c r="X23" s="8">
        <f>E23*224.8/(2*SQRT(Table1123[[#This Row],[fc (Mpa)]]*145.037)*Table1123[[#This Row],[b (mm)]]*Table1123[[#This Row],[d (mm)]]*(1/25.4)^2+Table1123[[#This Row],[Av fy d/s (N)]]*0.2248)</f>
        <v>0.86642872107567293</v>
      </c>
      <c r="Y23" s="15">
        <v>0.35499999999999998</v>
      </c>
      <c r="Z23" s="8">
        <f>Table1123[[#This Row],[Av fy/(b S) (Mpa)]]*Table1123[[#This Row],[d (mm)]]*Table1123[[#This Row],[b (mm)]]</f>
        <v>212659.19999999998</v>
      </c>
      <c r="AA23" s="8">
        <f>Table1123[[#This Row],[d (mm)]]/300</f>
        <v>1.7066666666666668</v>
      </c>
      <c r="AB23" s="8">
        <f>Table1123[[#This Row],[a/d]]*Table1123[[#This Row],[d]]</f>
        <v>1848.32</v>
      </c>
      <c r="AC23" s="8">
        <f>Table1123[[#This Row],[d]]</f>
        <v>512</v>
      </c>
      <c r="AD23" s="15">
        <v>591</v>
      </c>
      <c r="AE23" s="15">
        <v>1170</v>
      </c>
      <c r="AF23" s="15">
        <v>35.799999999999997</v>
      </c>
      <c r="AG23" s="8">
        <f>Table1123[[#This Row],[pho (%)]]/100*Table1123[[#This Row],[b (mm)]]*Table1123[[#This Row],[d (mm)]]</f>
        <v>10003.967999999999</v>
      </c>
      <c r="AH23" s="15">
        <v>1.67</v>
      </c>
      <c r="AI23" s="8">
        <v>465</v>
      </c>
      <c r="AJ23" s="8">
        <f>(1/3-0.21*(MIN(Table1123[[#This Row],[b (mm)]],AD23)/MAX(Table1123[[#This Row],[b (mm)]],AD23))*(MIN(Table1123[[#This Row],[b (mm)]],AD23)^4/(12*MAX(Table1123[[#This Row],[b (mm)]],AD23)^4)))*MAX(Table1123[[#This Row],[b (mm)]],AD23)*MIN(Table1123[[#This Row],[b (mm)]],AD23)^3</f>
        <v>80366784203.535568</v>
      </c>
      <c r="AK23" s="8">
        <f>Table1123[[#This Row],[b (mm)]]*AD23^3/12</f>
        <v>20126444422.5</v>
      </c>
      <c r="AL23" s="8">
        <v>3700</v>
      </c>
      <c r="AM23" s="12"/>
      <c r="AN23" s="12"/>
      <c r="AO23" s="12"/>
      <c r="AP23" s="1"/>
    </row>
    <row r="24" spans="1:42" s="10" customFormat="1" x14ac:dyDescent="0.25">
      <c r="A24" s="30" t="s">
        <v>134</v>
      </c>
      <c r="B24" s="15">
        <v>4</v>
      </c>
      <c r="C24" s="3">
        <v>23</v>
      </c>
      <c r="D24" s="15">
        <v>3.61</v>
      </c>
      <c r="E24" s="15">
        <v>775</v>
      </c>
      <c r="F24" s="15">
        <v>512</v>
      </c>
      <c r="G24" s="8">
        <f t="shared" si="12"/>
        <v>1432448</v>
      </c>
      <c r="H24" s="8">
        <f t="shared" si="13"/>
        <v>2.7023968442345364E-6</v>
      </c>
      <c r="I24" s="8">
        <f>G24/(Table1123[[#This Row],[b (mm)]]*AC24^2)</f>
        <v>4.6703892895299144E-3</v>
      </c>
      <c r="J24" s="8">
        <f t="shared" si="14"/>
        <v>0.60142802002831952</v>
      </c>
      <c r="K24" s="8">
        <f t="shared" si="15"/>
        <v>3.0711106468951594E-7</v>
      </c>
      <c r="L24" s="8">
        <f>E24/(Table1123[[#This Row],[b (mm)]]*AC24)</f>
        <v>1.2937366452991453E-3</v>
      </c>
      <c r="M24" s="8">
        <f>Table1123[[#This Row],[M (KN.mm)]]/(Table1123[[#This Row],[b (mm)]]*Table1123[[#This Row],[d (mm)]])</f>
        <v>2.3912393162393162</v>
      </c>
      <c r="N24" s="8">
        <f>Table1123[[#This Row],[M (KN.mm)]]/(Table1123[[#This Row],[b (mm)]]*Table1123[[#This Row],[h (mm)]])</f>
        <v>2.0715981893646869</v>
      </c>
      <c r="O24" s="8">
        <f>Table1123[[#This Row],[M (KN.mm)]]/(Table1123[[#This Row],[b (mm)]]*Table1123[[#This Row],[h (mm)]]*Table1123[[#This Row],[L(mm)]])</f>
        <v>5.5989140253099646E-4</v>
      </c>
      <c r="P24" s="8">
        <f>Table1123[[#This Row],[M (KN.mm)]]/(Table1123[[#This Row],[b (mm)]]*Table1123[[#This Row],[d (mm)]]*Table1123[[#This Row],[L(mm)]])</f>
        <v>6.4628089628089623E-4</v>
      </c>
      <c r="Q24" s="8">
        <f>Table1123[[#This Row],[M (KN.mm)]]/(Table1123[[#This Row],[b (mm)]]*Table1123[[#This Row],[h (mm)]]*Table1123[[#This Row],[L(mm)]]*Table1123[[#This Row],[fc (Mpa)]])</f>
        <v>1.5639424651703813E-5</v>
      </c>
      <c r="R24" s="8">
        <f>Table1123[[#This Row],[M (KN.mm)]]/(Table1123[[#This Row],[b (mm)]]*Table1123[[#This Row],[h (mm)]]*Table1123[[#This Row],[L(mm)]]/2)</f>
        <v>1.1197828050619929E-3</v>
      </c>
      <c r="S24" s="8">
        <f>Table1123[[#This Row],[M (KN.mm)]]/(Table1123[[#This Row],[a (mm)]]*Table1123[[#This Row],[b (mm)]]*Table1123[[#This Row],[h (mm)]]*Table1123[[#This Row],[L(mm)]]/2)</f>
        <v>6.0583816928994611E-7</v>
      </c>
      <c r="T24" s="8">
        <f>G24/($AN$5*AK24*0.001*Table1123[[#This Row],[pho (%)]])</f>
        <v>1.6182017031344529E-6</v>
      </c>
      <c r="U24" s="8">
        <f>Table1123[[#This Row],[M (KN.mm)]]/(Table1123[[#This Row],[b (mm)]]*Table1123[[#This Row],[d (mm)]]*Table1123[[#This Row],[pho (%)]])</f>
        <v>1.431879830083423</v>
      </c>
      <c r="V24" s="8">
        <f>E24*224.8/(2*SQRT(Table1123[[#This Row],[fc (Mpa)]]*145.037)*Table1123[[#This Row],[b (mm)]]*Table1123[[#This Row],[d (mm)]]*(1/25.4)^2)</f>
        <v>1.3019631935000042</v>
      </c>
      <c r="W24" s="8">
        <f>Table1123[[#This Row],[M (KN.mm)]]/$G$29</f>
        <v>0.77500000000000002</v>
      </c>
      <c r="X24" s="8">
        <f>E24*224.8/(2*SQRT(Table1123[[#This Row],[fc (Mpa)]]*145.037)*Table1123[[#This Row],[b (mm)]]*Table1123[[#This Row],[d (mm)]]*(1/25.4)^2+Table1123[[#This Row],[Av fy d/s (N)]]*0.2248)</f>
        <v>0.95926036976235218</v>
      </c>
      <c r="Y24" s="15">
        <v>0.35499999999999998</v>
      </c>
      <c r="Z24" s="8">
        <f>Table1123[[#This Row],[Av fy/(b S) (Mpa)]]*Table1123[[#This Row],[d (mm)]]*Table1123[[#This Row],[b (mm)]]</f>
        <v>212659.19999999998</v>
      </c>
      <c r="AA24" s="8">
        <f>Table1123[[#This Row],[d (mm)]]/300</f>
        <v>1.7066666666666668</v>
      </c>
      <c r="AB24" s="8">
        <f>Table1123[[#This Row],[a/d]]*Table1123[[#This Row],[d]]</f>
        <v>1848.32</v>
      </c>
      <c r="AC24" s="8">
        <f>Table1123[[#This Row],[d]]</f>
        <v>512</v>
      </c>
      <c r="AD24" s="15">
        <v>591</v>
      </c>
      <c r="AE24" s="15">
        <v>1170</v>
      </c>
      <c r="AF24" s="15">
        <v>35.799999999999997</v>
      </c>
      <c r="AG24" s="8">
        <f>Table1123[[#This Row],[pho (%)]]/100*Table1123[[#This Row],[b (mm)]]*Table1123[[#This Row],[d (mm)]]</f>
        <v>10003.967999999999</v>
      </c>
      <c r="AH24" s="15">
        <v>1.67</v>
      </c>
      <c r="AI24" s="8">
        <v>465</v>
      </c>
      <c r="AJ24" s="8">
        <f>(1/3-0.21*(MIN(Table1123[[#This Row],[b (mm)]],AD24)/MAX(Table1123[[#This Row],[b (mm)]],AD24))*(MIN(Table1123[[#This Row],[b (mm)]],AD24)^4/(12*MAX(Table1123[[#This Row],[b (mm)]],AD24)^4)))*MAX(Table1123[[#This Row],[b (mm)]],AD24)*MIN(Table1123[[#This Row],[b (mm)]],AD24)^3</f>
        <v>80366784203.535568</v>
      </c>
      <c r="AK24" s="8">
        <f>Table1123[[#This Row],[b (mm)]]*AD24^3/12</f>
        <v>20126444422.5</v>
      </c>
      <c r="AL24" s="8">
        <v>3700</v>
      </c>
      <c r="AM24" s="12"/>
      <c r="AN24" s="12"/>
      <c r="AO24" s="12"/>
      <c r="AP24" s="1"/>
    </row>
    <row r="25" spans="1:42" s="10" customFormat="1" x14ac:dyDescent="0.25">
      <c r="A25" s="30" t="s">
        <v>134</v>
      </c>
      <c r="B25" s="15">
        <v>5</v>
      </c>
      <c r="C25" s="3">
        <v>24</v>
      </c>
      <c r="D25" s="15">
        <v>3.61</v>
      </c>
      <c r="E25" s="15">
        <v>818.5</v>
      </c>
      <c r="F25" s="15">
        <v>512</v>
      </c>
      <c r="G25" s="8">
        <f t="shared" si="12"/>
        <v>1512849.92</v>
      </c>
      <c r="H25" s="8">
        <f t="shared" si="13"/>
        <v>2.8540797638786682E-6</v>
      </c>
      <c r="I25" s="8">
        <f>G25/(Table1123[[#This Row],[b (mm)]]*AC25^2)</f>
        <v>4.9325337206196579E-3</v>
      </c>
      <c r="J25" s="8">
        <f t="shared" si="14"/>
        <v>0.63518559276539299</v>
      </c>
      <c r="K25" s="8">
        <f t="shared" si="15"/>
        <v>3.2434891154628234E-7</v>
      </c>
      <c r="L25" s="8">
        <f>E25/(Table1123[[#This Row],[b (mm)]]*AC25)</f>
        <v>1.3663528311965811E-3</v>
      </c>
      <c r="M25" s="8">
        <f>Table1123[[#This Row],[M (KN.mm)]]/(Table1123[[#This Row],[b (mm)]]*Table1123[[#This Row],[d (mm)]])</f>
        <v>2.5254572649572649</v>
      </c>
      <c r="N25" s="8">
        <f>Table1123[[#This Row],[M (KN.mm)]]/(Table1123[[#This Row],[b (mm)]]*Table1123[[#This Row],[h (mm)]])</f>
        <v>2.1878749909612853</v>
      </c>
      <c r="O25" s="8">
        <f>Table1123[[#This Row],[M (KN.mm)]]/(Table1123[[#This Row],[b (mm)]]*Table1123[[#This Row],[h (mm)]]*Table1123[[#This Row],[L(mm)]])</f>
        <v>5.9131756512467173E-4</v>
      </c>
      <c r="P25" s="8">
        <f>Table1123[[#This Row],[M (KN.mm)]]/(Table1123[[#This Row],[b (mm)]]*Table1123[[#This Row],[d (mm)]]*Table1123[[#This Row],[L(mm)]])</f>
        <v>6.8255601755601747E-4</v>
      </c>
      <c r="Q25" s="8">
        <f>Table1123[[#This Row],[M (KN.mm)]]/(Table1123[[#This Row],[b (mm)]]*Table1123[[#This Row],[h (mm)]]*Table1123[[#This Row],[L(mm)]]*Table1123[[#This Row],[fc (Mpa)]])</f>
        <v>1.6517250422476864E-5</v>
      </c>
      <c r="R25" s="8">
        <f>Table1123[[#This Row],[M (KN.mm)]]/(Table1123[[#This Row],[b (mm)]]*Table1123[[#This Row],[h (mm)]]*Table1123[[#This Row],[L(mm)]]/2)</f>
        <v>1.1826351302493435E-3</v>
      </c>
      <c r="S25" s="8">
        <f>Table1123[[#This Row],[M (KN.mm)]]/(Table1123[[#This Row],[a (mm)]]*Table1123[[#This Row],[b (mm)]]*Table1123[[#This Row],[h (mm)]]*Table1123[[#This Row],[L(mm)]]/2)</f>
        <v>6.3984327943718819E-7</v>
      </c>
      <c r="T25" s="8">
        <f>G25/($AN$5*AK25*0.001*Table1123[[#This Row],[pho (%)]])</f>
        <v>1.7090297987297415E-6</v>
      </c>
      <c r="U25" s="8">
        <f>Table1123[[#This Row],[M (KN.mm)]]/(Table1123[[#This Row],[b (mm)]]*Table1123[[#This Row],[d (mm)]]*Table1123[[#This Row],[pho (%)]])</f>
        <v>1.5122498592558473</v>
      </c>
      <c r="V25" s="8">
        <f>E25*224.8/(2*SQRT(Table1123[[#This Row],[fc (Mpa)]]*145.037)*Table1123[[#This Row],[b (mm)]]*Table1123[[#This Row],[d (mm)]]*(1/25.4)^2)</f>
        <v>1.3750411275867789</v>
      </c>
      <c r="W25" s="8">
        <f>Table1123[[#This Row],[M (KN.mm)]]/$G$29</f>
        <v>0.81850000000000001</v>
      </c>
      <c r="X25" s="8">
        <f>E25*224.8/(2*SQRT(Table1123[[#This Row],[fc (Mpa)]]*145.037)*Table1123[[#This Row],[b (mm)]]*Table1123[[#This Row],[d (mm)]]*(1/25.4)^2+Table1123[[#This Row],[Av fy d/s (N)]]*0.2248)</f>
        <v>1.0131027260006262</v>
      </c>
      <c r="Y25" s="15">
        <v>0.35499999999999998</v>
      </c>
      <c r="Z25" s="8">
        <f>Table1123[[#This Row],[Av fy/(b S) (Mpa)]]*Table1123[[#This Row],[d (mm)]]*Table1123[[#This Row],[b (mm)]]</f>
        <v>212659.19999999998</v>
      </c>
      <c r="AA25" s="8">
        <f>Table1123[[#This Row],[d (mm)]]/300</f>
        <v>1.7066666666666668</v>
      </c>
      <c r="AB25" s="8">
        <f>Table1123[[#This Row],[a/d]]*Table1123[[#This Row],[d]]</f>
        <v>1848.32</v>
      </c>
      <c r="AC25" s="8">
        <f>Table1123[[#This Row],[d]]</f>
        <v>512</v>
      </c>
      <c r="AD25" s="15">
        <v>591</v>
      </c>
      <c r="AE25" s="15">
        <v>1170</v>
      </c>
      <c r="AF25" s="15">
        <v>35.799999999999997</v>
      </c>
      <c r="AG25" s="8">
        <f>Table1123[[#This Row],[pho (%)]]/100*Table1123[[#This Row],[b (mm)]]*Table1123[[#This Row],[d (mm)]]</f>
        <v>10003.967999999999</v>
      </c>
      <c r="AH25" s="15">
        <v>1.67</v>
      </c>
      <c r="AI25" s="8">
        <v>465</v>
      </c>
      <c r="AJ25" s="8">
        <f>(1/3-0.21*(MIN(Table1123[[#This Row],[b (mm)]],AD25)/MAX(Table1123[[#This Row],[b (mm)]],AD25))*(MIN(Table1123[[#This Row],[b (mm)]],AD25)^4/(12*MAX(Table1123[[#This Row],[b (mm)]],AD25)^4)))*MAX(Table1123[[#This Row],[b (mm)]],AD25)*MIN(Table1123[[#This Row],[b (mm)]],AD25)^3</f>
        <v>80366784203.535568</v>
      </c>
      <c r="AK25" s="8">
        <f>Table1123[[#This Row],[b (mm)]]*AD25^3/12</f>
        <v>20126444422.5</v>
      </c>
      <c r="AL25" s="8">
        <v>3700</v>
      </c>
      <c r="AM25" s="12"/>
      <c r="AN25" s="12"/>
      <c r="AO25" s="12"/>
      <c r="AP25" s="1"/>
    </row>
    <row r="26" spans="1:42" s="10" customFormat="1" x14ac:dyDescent="0.25">
      <c r="A26" s="30" t="s">
        <v>134</v>
      </c>
      <c r="B26" s="15">
        <v>6</v>
      </c>
      <c r="C26" s="3">
        <v>25</v>
      </c>
      <c r="D26" s="15">
        <v>3.61</v>
      </c>
      <c r="E26" s="15">
        <v>850</v>
      </c>
      <c r="F26" s="15">
        <v>512</v>
      </c>
      <c r="G26" s="8">
        <f t="shared" si="12"/>
        <v>1571072</v>
      </c>
      <c r="H26" s="8">
        <f t="shared" si="13"/>
        <v>2.9639191194830401E-6</v>
      </c>
      <c r="I26" s="8">
        <f>G26/(Table1123[[#This Row],[b (mm)]]*AC26^2)</f>
        <v>5.1223624465811966E-3</v>
      </c>
      <c r="J26" s="8">
        <f t="shared" si="14"/>
        <v>0.65963073164396335</v>
      </c>
      <c r="K26" s="8">
        <f t="shared" si="15"/>
        <v>3.3683149030463041E-7</v>
      </c>
      <c r="L26" s="8">
        <f>E26/(Table1123[[#This Row],[b (mm)]]*AC26)</f>
        <v>1.4189369658119658E-3</v>
      </c>
      <c r="M26" s="8">
        <f>Table1123[[#This Row],[M (KN.mm)]]/(Table1123[[#This Row],[b (mm)]]*Table1123[[#This Row],[d (mm)]])</f>
        <v>2.6226495726495727</v>
      </c>
      <c r="N26" s="8">
        <f>Table1123[[#This Row],[M (KN.mm)]]/(Table1123[[#This Row],[b (mm)]]*Table1123[[#This Row],[h (mm)]])</f>
        <v>2.2720754334967532</v>
      </c>
      <c r="O26" s="8">
        <f>Table1123[[#This Row],[M (KN.mm)]]/(Table1123[[#This Row],[b (mm)]]*Table1123[[#This Row],[h (mm)]]*Table1123[[#This Row],[L(mm)]])</f>
        <v>6.1407444148560896E-4</v>
      </c>
      <c r="P26" s="8">
        <f>Table1123[[#This Row],[M (KN.mm)]]/(Table1123[[#This Row],[b (mm)]]*Table1123[[#This Row],[d (mm)]]*Table1123[[#This Row],[L(mm)]])</f>
        <v>7.0882420882420884E-4</v>
      </c>
      <c r="Q26" s="8">
        <f>Table1123[[#This Row],[M (KN.mm)]]/(Table1123[[#This Row],[b (mm)]]*Table1123[[#This Row],[h (mm)]]*Table1123[[#This Row],[L(mm)]]*Table1123[[#This Row],[fc (Mpa)]])</f>
        <v>1.7152917359933213E-5</v>
      </c>
      <c r="R26" s="8">
        <f>Table1123[[#This Row],[M (KN.mm)]]/(Table1123[[#This Row],[b (mm)]]*Table1123[[#This Row],[h (mm)]]*Table1123[[#This Row],[L(mm)]]/2)</f>
        <v>1.2281488829712179E-3</v>
      </c>
      <c r="S26" s="8">
        <f>Table1123[[#This Row],[M (KN.mm)]]/(Table1123[[#This Row],[a (mm)]]*Table1123[[#This Row],[b (mm)]]*Table1123[[#This Row],[h (mm)]]*Table1123[[#This Row],[L(mm)]]/2)</f>
        <v>6.6446766954381186E-7</v>
      </c>
      <c r="T26" s="8">
        <f>G26/($AN$5*AK26*0.001*Table1123[[#This Row],[pho (%)]])</f>
        <v>1.774801867953916E-6</v>
      </c>
      <c r="U26" s="8">
        <f>Table1123[[#This Row],[M (KN.mm)]]/(Table1123[[#This Row],[b (mm)]]*Table1123[[#This Row],[d (mm)]]*Table1123[[#This Row],[pho (%)]])</f>
        <v>1.5704488458979478</v>
      </c>
      <c r="V26" s="8">
        <f>E26*224.8/(2*SQRT(Table1123[[#This Row],[fc (Mpa)]]*145.037)*Table1123[[#This Row],[b (mm)]]*Table1123[[#This Row],[d (mm)]]*(1/25.4)^2)</f>
        <v>1.4279596315806498</v>
      </c>
      <c r="W26" s="8">
        <f>Table1123[[#This Row],[M (KN.mm)]]/$G$29</f>
        <v>0.85</v>
      </c>
      <c r="X26" s="8">
        <f>E26*224.8/(2*SQRT(Table1123[[#This Row],[fc (Mpa)]]*145.037)*Table1123[[#This Row],[b (mm)]]*Table1123[[#This Row],[d (mm)]]*(1/25.4)^2+Table1123[[#This Row],[Av fy d/s (N)]]*0.2248)</f>
        <v>1.0520920184490314</v>
      </c>
      <c r="Y26" s="15">
        <v>0.35499999999999998</v>
      </c>
      <c r="Z26" s="8">
        <f>Table1123[[#This Row],[Av fy/(b S) (Mpa)]]*Table1123[[#This Row],[d (mm)]]*Table1123[[#This Row],[b (mm)]]</f>
        <v>212659.19999999998</v>
      </c>
      <c r="AA26" s="8">
        <f>Table1123[[#This Row],[d (mm)]]/300</f>
        <v>1.7066666666666668</v>
      </c>
      <c r="AB26" s="8">
        <f>Table1123[[#This Row],[a/d]]*Table1123[[#This Row],[d]]</f>
        <v>1848.32</v>
      </c>
      <c r="AC26" s="8">
        <f>Table1123[[#This Row],[d]]</f>
        <v>512</v>
      </c>
      <c r="AD26" s="15">
        <v>591</v>
      </c>
      <c r="AE26" s="15">
        <v>1170</v>
      </c>
      <c r="AF26" s="15">
        <v>35.799999999999997</v>
      </c>
      <c r="AG26" s="8">
        <f>Table1123[[#This Row],[pho (%)]]/100*Table1123[[#This Row],[b (mm)]]*Table1123[[#This Row],[d (mm)]]</f>
        <v>10003.967999999999</v>
      </c>
      <c r="AH26" s="15">
        <v>1.67</v>
      </c>
      <c r="AI26" s="8">
        <v>465</v>
      </c>
      <c r="AJ26" s="8">
        <f>(1/3-0.21*(MIN(Table1123[[#This Row],[b (mm)]],AD26)/MAX(Table1123[[#This Row],[b (mm)]],AD26))*(MIN(Table1123[[#This Row],[b (mm)]],AD26)^4/(12*MAX(Table1123[[#This Row],[b (mm)]],AD26)^4)))*MAX(Table1123[[#This Row],[b (mm)]],AD26)*MIN(Table1123[[#This Row],[b (mm)]],AD26)^3</f>
        <v>80366784203.535568</v>
      </c>
      <c r="AK26" s="8">
        <f>Table1123[[#This Row],[b (mm)]]*AD26^3/12</f>
        <v>20126444422.5</v>
      </c>
      <c r="AL26" s="8">
        <v>3700</v>
      </c>
      <c r="AM26" s="12"/>
      <c r="AN26" s="12"/>
      <c r="AO26" s="12"/>
      <c r="AP26" s="1"/>
    </row>
    <row r="27" spans="1:42" s="10" customFormat="1" x14ac:dyDescent="0.25">
      <c r="A27" s="30" t="s">
        <v>134</v>
      </c>
      <c r="B27" s="15">
        <v>7</v>
      </c>
      <c r="C27" s="3">
        <v>26</v>
      </c>
      <c r="D27" s="15">
        <v>3.61</v>
      </c>
      <c r="E27" s="15">
        <v>900</v>
      </c>
      <c r="F27" s="15">
        <v>512</v>
      </c>
      <c r="G27" s="8">
        <f t="shared" si="12"/>
        <v>1663488</v>
      </c>
      <c r="H27" s="8">
        <f t="shared" si="13"/>
        <v>3.1382673029820422E-6</v>
      </c>
      <c r="I27" s="8">
        <f>G27/(Table1123[[#This Row],[b (mm)]]*AC27^2)</f>
        <v>5.4236778846153844E-3</v>
      </c>
      <c r="J27" s="8">
        <f t="shared" si="14"/>
        <v>0.69843253938772598</v>
      </c>
      <c r="K27" s="8">
        <f t="shared" si="15"/>
        <v>3.566451073813734E-7</v>
      </c>
      <c r="L27" s="8">
        <f>E27/(Table1123[[#This Row],[b (mm)]]*AC27)</f>
        <v>1.5024038461538462E-3</v>
      </c>
      <c r="M27" s="8">
        <f>Table1123[[#This Row],[M (KN.mm)]]/(Table1123[[#This Row],[b (mm)]]*Table1123[[#This Row],[d (mm)]])</f>
        <v>2.7769230769230768</v>
      </c>
      <c r="N27" s="8">
        <f>Table1123[[#This Row],[M (KN.mm)]]/(Table1123[[#This Row],[b (mm)]]*Table1123[[#This Row],[h (mm)]])</f>
        <v>2.4057269295847976</v>
      </c>
      <c r="O27" s="8">
        <f>Table1123[[#This Row],[M (KN.mm)]]/(Table1123[[#This Row],[b (mm)]]*Table1123[[#This Row],[h (mm)]]*Table1123[[#This Row],[L(mm)]])</f>
        <v>6.5019646745535071E-4</v>
      </c>
      <c r="P27" s="8">
        <f>Table1123[[#This Row],[M (KN.mm)]]/(Table1123[[#This Row],[b (mm)]]*Table1123[[#This Row],[d (mm)]]*Table1123[[#This Row],[L(mm)]])</f>
        <v>7.5051975051975057E-4</v>
      </c>
      <c r="Q27" s="8">
        <f>Table1123[[#This Row],[M (KN.mm)]]/(Table1123[[#This Row],[b (mm)]]*Table1123[[#This Row],[h (mm)]]*Table1123[[#This Row],[L(mm)]]*Table1123[[#This Row],[fc (Mpa)]])</f>
        <v>1.8161912498752812E-5</v>
      </c>
      <c r="R27" s="8">
        <f>Table1123[[#This Row],[M (KN.mm)]]/(Table1123[[#This Row],[b (mm)]]*Table1123[[#This Row],[h (mm)]]*Table1123[[#This Row],[L(mm)]]/2)</f>
        <v>1.3003929349107014E-3</v>
      </c>
      <c r="S27" s="8">
        <f>Table1123[[#This Row],[M (KN.mm)]]/(Table1123[[#This Row],[a (mm)]]*Table1123[[#This Row],[b (mm)]]*Table1123[[#This Row],[h (mm)]]*Table1123[[#This Row],[L(mm)]]/2)</f>
        <v>7.0355400304638896E-7</v>
      </c>
      <c r="T27" s="8">
        <f>G27/($AN$5*AK27*0.001*Table1123[[#This Row],[pho (%)]])</f>
        <v>1.8792019778335582E-6</v>
      </c>
      <c r="U27" s="8">
        <f>Table1123[[#This Row],[M (KN.mm)]]/(Table1123[[#This Row],[b (mm)]]*Table1123[[#This Row],[d (mm)]]*Table1123[[#This Row],[pho (%)]])</f>
        <v>1.6628281897742976</v>
      </c>
      <c r="V27" s="8">
        <f>E27*224.8/(2*SQRT(Table1123[[#This Row],[fc (Mpa)]]*145.037)*Table1123[[#This Row],[b (mm)]]*Table1123[[#This Row],[d (mm)]]*(1/25.4)^2)</f>
        <v>1.5119572569677469</v>
      </c>
      <c r="W27" s="8">
        <f>Table1123[[#This Row],[M (KN.mm)]]/$G$29</f>
        <v>0.9</v>
      </c>
      <c r="X27" s="8">
        <f>E27*224.8/(2*SQRT(Table1123[[#This Row],[fc (Mpa)]]*145.037)*Table1123[[#This Row],[b (mm)]]*Table1123[[#This Row],[d (mm)]]*(1/25.4)^2+Table1123[[#This Row],[Av fy d/s (N)]]*0.2248)</f>
        <v>1.1139797842401509</v>
      </c>
      <c r="Y27" s="15">
        <v>0.35499999999999998</v>
      </c>
      <c r="Z27" s="8">
        <f>Table1123[[#This Row],[Av fy/(b S) (Mpa)]]*Table1123[[#This Row],[d (mm)]]*Table1123[[#This Row],[b (mm)]]</f>
        <v>212659.19999999998</v>
      </c>
      <c r="AA27" s="8">
        <f>Table1123[[#This Row],[d (mm)]]/300</f>
        <v>1.7066666666666668</v>
      </c>
      <c r="AB27" s="8">
        <f>Table1123[[#This Row],[a/d]]*Table1123[[#This Row],[d]]</f>
        <v>1848.32</v>
      </c>
      <c r="AC27" s="8">
        <f>Table1123[[#This Row],[d]]</f>
        <v>512</v>
      </c>
      <c r="AD27" s="15">
        <v>591</v>
      </c>
      <c r="AE27" s="15">
        <v>1170</v>
      </c>
      <c r="AF27" s="15">
        <v>35.799999999999997</v>
      </c>
      <c r="AG27" s="8">
        <f>Table1123[[#This Row],[pho (%)]]/100*Table1123[[#This Row],[b (mm)]]*Table1123[[#This Row],[d (mm)]]</f>
        <v>10003.967999999999</v>
      </c>
      <c r="AH27" s="15">
        <v>1.67</v>
      </c>
      <c r="AI27" s="8">
        <v>465</v>
      </c>
      <c r="AJ27" s="8">
        <f>(1/3-0.21*(MIN(Table1123[[#This Row],[b (mm)]],AD27)/MAX(Table1123[[#This Row],[b (mm)]],AD27))*(MIN(Table1123[[#This Row],[b (mm)]],AD27)^4/(12*MAX(Table1123[[#This Row],[b (mm)]],AD27)^4)))*MAX(Table1123[[#This Row],[b (mm)]],AD27)*MIN(Table1123[[#This Row],[b (mm)]],AD27)^3</f>
        <v>80366784203.535568</v>
      </c>
      <c r="AK27" s="8">
        <f>Table1123[[#This Row],[b (mm)]]*AD27^3/12</f>
        <v>20126444422.5</v>
      </c>
      <c r="AL27" s="8">
        <v>3700</v>
      </c>
      <c r="AM27" s="12"/>
      <c r="AN27" s="12"/>
      <c r="AO27" s="12"/>
      <c r="AP27" s="1"/>
    </row>
    <row r="28" spans="1:42" s="10" customFormat="1" x14ac:dyDescent="0.25">
      <c r="A28" s="30" t="s">
        <v>134</v>
      </c>
      <c r="B28" s="15">
        <v>8</v>
      </c>
      <c r="C28" s="3">
        <v>27</v>
      </c>
      <c r="D28" s="15">
        <v>3.61</v>
      </c>
      <c r="E28" s="15">
        <v>950</v>
      </c>
      <c r="F28" s="15">
        <v>512</v>
      </c>
      <c r="G28" s="8">
        <f t="shared" si="12"/>
        <v>1755904</v>
      </c>
      <c r="H28" s="8">
        <f t="shared" si="13"/>
        <v>3.3126154864810447E-6</v>
      </c>
      <c r="I28" s="8">
        <f>G28/(Table1123[[#This Row],[b (mm)]]*AC28^2)</f>
        <v>5.7249933226495723E-3</v>
      </c>
      <c r="J28" s="8">
        <f t="shared" si="14"/>
        <v>0.7372343471314885</v>
      </c>
      <c r="K28" s="8">
        <f t="shared" si="15"/>
        <v>3.7645872445811634E-7</v>
      </c>
      <c r="L28" s="8">
        <f>E28/(Table1123[[#This Row],[b (mm)]]*AC28)</f>
        <v>1.5858707264957265E-3</v>
      </c>
      <c r="M28" s="8">
        <f>Table1123[[#This Row],[M (KN.mm)]]/(Table1123[[#This Row],[b (mm)]]*Table1123[[#This Row],[d (mm)]])</f>
        <v>2.931196581196581</v>
      </c>
      <c r="N28" s="8">
        <f>Table1123[[#This Row],[M (KN.mm)]]/(Table1123[[#This Row],[b (mm)]]*Table1123[[#This Row],[h (mm)]])</f>
        <v>2.539378425672842</v>
      </c>
      <c r="O28" s="8">
        <f>Table1123[[#This Row],[M (KN.mm)]]/(Table1123[[#This Row],[b (mm)]]*Table1123[[#This Row],[h (mm)]]*Table1123[[#This Row],[L(mm)]])</f>
        <v>6.8631849342509245E-4</v>
      </c>
      <c r="P28" s="8">
        <f>Table1123[[#This Row],[M (KN.mm)]]/(Table1123[[#This Row],[b (mm)]]*Table1123[[#This Row],[d (mm)]]*Table1123[[#This Row],[L(mm)]])</f>
        <v>7.922152922152922E-4</v>
      </c>
      <c r="Q28" s="8">
        <f>Table1123[[#This Row],[M (KN.mm)]]/(Table1123[[#This Row],[b (mm)]]*Table1123[[#This Row],[h (mm)]]*Table1123[[#This Row],[L(mm)]]*Table1123[[#This Row],[fc (Mpa)]])</f>
        <v>1.9170907637572415E-5</v>
      </c>
      <c r="R28" s="8">
        <f>Table1123[[#This Row],[M (KN.mm)]]/(Table1123[[#This Row],[b (mm)]]*Table1123[[#This Row],[h (mm)]]*Table1123[[#This Row],[L(mm)]]/2)</f>
        <v>1.3726369868501849E-3</v>
      </c>
      <c r="S28" s="8">
        <f>Table1123[[#This Row],[M (KN.mm)]]/(Table1123[[#This Row],[a (mm)]]*Table1123[[#This Row],[b (mm)]]*Table1123[[#This Row],[h (mm)]]*Table1123[[#This Row],[L(mm)]]/2)</f>
        <v>7.4264033654896617E-7</v>
      </c>
      <c r="T28" s="8">
        <f>G28/($AN$5*AK28*0.001*Table1123[[#This Row],[pho (%)]])</f>
        <v>1.9836020877132005E-6</v>
      </c>
      <c r="U28" s="8">
        <f>Table1123[[#This Row],[M (KN.mm)]]/(Table1123[[#This Row],[b (mm)]]*Table1123[[#This Row],[d (mm)]]*Table1123[[#This Row],[pho (%)]])</f>
        <v>1.7552075336506476</v>
      </c>
      <c r="V28" s="8">
        <f>E28*224.8/(2*SQRT(Table1123[[#This Row],[fc (Mpa)]]*145.037)*Table1123[[#This Row],[b (mm)]]*Table1123[[#This Row],[d (mm)]]*(1/25.4)^2)</f>
        <v>1.595954882354844</v>
      </c>
      <c r="W28" s="8">
        <f>Table1123[[#This Row],[M (KN.mm)]]/$G$29</f>
        <v>0.95</v>
      </c>
      <c r="X28" s="8">
        <f>E28*224.8/(2*SQRT(Table1123[[#This Row],[fc (Mpa)]]*145.037)*Table1123[[#This Row],[b (mm)]]*Table1123[[#This Row],[d (mm)]]*(1/25.4)^2+Table1123[[#This Row],[Av fy d/s (N)]]*0.2248)</f>
        <v>1.1758675500312703</v>
      </c>
      <c r="Y28" s="15">
        <v>0.35499999999999998</v>
      </c>
      <c r="Z28" s="8">
        <f>Table1123[[#This Row],[Av fy/(b S) (Mpa)]]*Table1123[[#This Row],[d (mm)]]*Table1123[[#This Row],[b (mm)]]</f>
        <v>212659.19999999998</v>
      </c>
      <c r="AA28" s="8">
        <f>Table1123[[#This Row],[d (mm)]]/300</f>
        <v>1.7066666666666668</v>
      </c>
      <c r="AB28" s="8">
        <f>Table1123[[#This Row],[a/d]]*Table1123[[#This Row],[d]]</f>
        <v>1848.32</v>
      </c>
      <c r="AC28" s="8">
        <f>Table1123[[#This Row],[d]]</f>
        <v>512</v>
      </c>
      <c r="AD28" s="15">
        <v>591</v>
      </c>
      <c r="AE28" s="15">
        <v>1170</v>
      </c>
      <c r="AF28" s="15">
        <v>35.799999999999997</v>
      </c>
      <c r="AG28" s="8">
        <f>Table1123[[#This Row],[pho (%)]]/100*Table1123[[#This Row],[b (mm)]]*Table1123[[#This Row],[d (mm)]]</f>
        <v>10003.967999999999</v>
      </c>
      <c r="AH28" s="15">
        <v>1.67</v>
      </c>
      <c r="AI28" s="8">
        <v>465</v>
      </c>
      <c r="AJ28" s="8">
        <f>(1/3-0.21*(MIN(Table1123[[#This Row],[b (mm)]],AD28)/MAX(Table1123[[#This Row],[b (mm)]],AD28))*(MIN(Table1123[[#This Row],[b (mm)]],AD28)^4/(12*MAX(Table1123[[#This Row],[b (mm)]],AD28)^4)))*MAX(Table1123[[#This Row],[b (mm)]],AD28)*MIN(Table1123[[#This Row],[b (mm)]],AD28)^3</f>
        <v>80366784203.535568</v>
      </c>
      <c r="AK28" s="8">
        <f>Table1123[[#This Row],[b (mm)]]*AD28^3/12</f>
        <v>20126444422.5</v>
      </c>
      <c r="AL28" s="8">
        <v>3700</v>
      </c>
      <c r="AM28" s="12"/>
      <c r="AN28" s="12"/>
      <c r="AO28" s="12"/>
      <c r="AP28" s="1"/>
    </row>
    <row r="29" spans="1:42" s="10" customFormat="1" x14ac:dyDescent="0.25">
      <c r="A29" s="30" t="s">
        <v>134</v>
      </c>
      <c r="B29" s="15">
        <v>9</v>
      </c>
      <c r="C29" s="3">
        <v>28</v>
      </c>
      <c r="D29" s="15">
        <v>3.61</v>
      </c>
      <c r="E29" s="15">
        <v>1000</v>
      </c>
      <c r="F29" s="15">
        <v>512</v>
      </c>
      <c r="G29" s="8">
        <f t="shared" si="12"/>
        <v>1848320</v>
      </c>
      <c r="H29" s="8">
        <f t="shared" si="13"/>
        <v>3.4869636699800468E-6</v>
      </c>
      <c r="I29" s="8">
        <f>G29/(Table1123[[#This Row],[b (mm)]]*AC29^2)</f>
        <v>6.026308760683761E-3</v>
      </c>
      <c r="J29" s="8">
        <f t="shared" si="14"/>
        <v>0.77603615487525102</v>
      </c>
      <c r="K29" s="8">
        <f t="shared" si="15"/>
        <v>3.9627234153485933E-7</v>
      </c>
      <c r="L29" s="8">
        <f>E29/(Table1123[[#This Row],[b (mm)]]*AC29)</f>
        <v>1.6693376068376068E-3</v>
      </c>
      <c r="M29" s="8">
        <f>Table1123[[#This Row],[M (KN.mm)]]/(Table1123[[#This Row],[b (mm)]]*Table1123[[#This Row],[d (mm)]])</f>
        <v>3.0854700854700856</v>
      </c>
      <c r="N29" s="8">
        <f>Table1123[[#This Row],[M (KN.mm)]]/(Table1123[[#This Row],[b (mm)]]*Table1123[[#This Row],[h (mm)]])</f>
        <v>2.6730299217608864</v>
      </c>
      <c r="O29" s="8">
        <f>Table1123[[#This Row],[M (KN.mm)]]/(Table1123[[#This Row],[b (mm)]]*Table1123[[#This Row],[h (mm)]]*Table1123[[#This Row],[L(mm)]])</f>
        <v>7.2244051939483408E-4</v>
      </c>
      <c r="P29" s="8">
        <f>Table1123[[#This Row],[M (KN.mm)]]/(Table1123[[#This Row],[b (mm)]]*Table1123[[#This Row],[d (mm)]]*Table1123[[#This Row],[L(mm)]])</f>
        <v>8.3391083391083393E-4</v>
      </c>
      <c r="Q29" s="8">
        <f>Table1123[[#This Row],[M (KN.mm)]]/(Table1123[[#This Row],[b (mm)]]*Table1123[[#This Row],[h (mm)]]*Table1123[[#This Row],[L(mm)]]*Table1123[[#This Row],[fc (Mpa)]])</f>
        <v>2.0179902776392014E-5</v>
      </c>
      <c r="R29" s="8">
        <f>Table1123[[#This Row],[M (KN.mm)]]/(Table1123[[#This Row],[b (mm)]]*Table1123[[#This Row],[h (mm)]]*Table1123[[#This Row],[L(mm)]]/2)</f>
        <v>1.4448810387896682E-3</v>
      </c>
      <c r="S29" s="8">
        <f>Table1123[[#This Row],[M (KN.mm)]]/(Table1123[[#This Row],[a (mm)]]*Table1123[[#This Row],[b (mm)]]*Table1123[[#This Row],[h (mm)]]*Table1123[[#This Row],[L(mm)]]/2)</f>
        <v>7.8172667005154327E-7</v>
      </c>
      <c r="T29" s="8">
        <f>G29/($AN$5*AK29*0.001*Table1123[[#This Row],[pho (%)]])</f>
        <v>2.0880021975928426E-6</v>
      </c>
      <c r="U29" s="8">
        <f>Table1123[[#This Row],[M (KN.mm)]]/(Table1123[[#This Row],[b (mm)]]*Table1123[[#This Row],[d (mm)]]*Table1123[[#This Row],[pho (%)]])</f>
        <v>1.8475868775269975</v>
      </c>
      <c r="V29" s="8">
        <f>E29*224.8/(2*SQRT(Table1123[[#This Row],[fc (Mpa)]]*145.037)*Table1123[[#This Row],[b (mm)]]*Table1123[[#This Row],[d (mm)]]*(1/25.4)^2)</f>
        <v>1.6799525077419408</v>
      </c>
      <c r="W29" s="8">
        <f>Table1123[[#This Row],[M (KN.mm)]]/$G$29</f>
        <v>1</v>
      </c>
      <c r="X29" s="8">
        <f>E29*224.8/(2*SQRT(Table1123[[#This Row],[fc (Mpa)]]*145.037)*Table1123[[#This Row],[b (mm)]]*Table1123[[#This Row],[d (mm)]]*(1/25.4)^2+Table1123[[#This Row],[Av fy d/s (N)]]*0.2248)</f>
        <v>1.2377553158223897</v>
      </c>
      <c r="Y29" s="15">
        <v>0.35499999999999998</v>
      </c>
      <c r="Z29" s="8">
        <f>Table1123[[#This Row],[Av fy/(b S) (Mpa)]]*Table1123[[#This Row],[d (mm)]]*Table1123[[#This Row],[b (mm)]]</f>
        <v>212659.19999999998</v>
      </c>
      <c r="AA29" s="8">
        <f>Table1123[[#This Row],[d (mm)]]/300</f>
        <v>1.7066666666666668</v>
      </c>
      <c r="AB29" s="8">
        <f>Table1123[[#This Row],[a/d]]*Table1123[[#This Row],[d]]</f>
        <v>1848.32</v>
      </c>
      <c r="AC29" s="8">
        <f>Table1123[[#This Row],[d]]</f>
        <v>512</v>
      </c>
      <c r="AD29" s="15">
        <v>591</v>
      </c>
      <c r="AE29" s="15">
        <v>1170</v>
      </c>
      <c r="AF29" s="15">
        <v>35.799999999999997</v>
      </c>
      <c r="AG29" s="8">
        <f>Table1123[[#This Row],[pho (%)]]/100*Table1123[[#This Row],[b (mm)]]*Table1123[[#This Row],[d (mm)]]</f>
        <v>10003.967999999999</v>
      </c>
      <c r="AH29" s="15">
        <v>1.67</v>
      </c>
      <c r="AI29" s="8">
        <v>465</v>
      </c>
      <c r="AJ29" s="8">
        <f>(1/3-0.21*(MIN(Table1123[[#This Row],[b (mm)]],AD29)/MAX(Table1123[[#This Row],[b (mm)]],AD29))*(MIN(Table1123[[#This Row],[b (mm)]],AD29)^4/(12*MAX(Table1123[[#This Row],[b (mm)]],AD29)^4)))*MAX(Table1123[[#This Row],[b (mm)]],AD29)*MIN(Table1123[[#This Row],[b (mm)]],AD29)^3</f>
        <v>80366784203.535568</v>
      </c>
      <c r="AK29" s="8">
        <f>Table1123[[#This Row],[b (mm)]]*AD29^3/12</f>
        <v>20126444422.5</v>
      </c>
      <c r="AL29" s="8">
        <v>3700</v>
      </c>
      <c r="AM29" s="12"/>
      <c r="AN29" s="12"/>
      <c r="AO29" s="12"/>
      <c r="AP29" s="1"/>
    </row>
    <row r="30" spans="1:42" s="10" customFormat="1" x14ac:dyDescent="0.25">
      <c r="A30" s="60" t="s">
        <v>112</v>
      </c>
      <c r="B30" s="15">
        <v>1</v>
      </c>
      <c r="C30" s="3">
        <v>29</v>
      </c>
      <c r="D30" s="15">
        <v>3.6</v>
      </c>
      <c r="E30" s="15">
        <v>50</v>
      </c>
      <c r="F30" s="15">
        <v>289</v>
      </c>
      <c r="G30" s="8">
        <f t="shared" ref="G30:G39" si="16">E30*AB30</f>
        <v>52020.000000000007</v>
      </c>
      <c r="H30" s="8">
        <f t="shared" ref="H30:H39" si="17">G30/($AN$5*AK30*0.001)</f>
        <v>8.6543507435256854E-7</v>
      </c>
      <c r="I30" s="8">
        <f>G30/(Table1123[[#This Row],[b (mm)]]*AC30^2)</f>
        <v>8.8597065468309336E-4</v>
      </c>
      <c r="J30" s="8">
        <f t="shared" ref="J30:J39" si="18">G30/(AG30*AI30*AC30*0.001)</f>
        <v>0.11077402534172209</v>
      </c>
      <c r="K30" s="8">
        <f t="shared" ref="K30:K39" si="19">E30/($AN$4*AJ30*0.001)</f>
        <v>1.7466348341657494E-7</v>
      </c>
      <c r="L30" s="8">
        <f>E30/(Table1123[[#This Row],[b (mm)]]*AC30)</f>
        <v>2.4610295963419258E-4</v>
      </c>
      <c r="M30" s="8">
        <f>Table1123[[#This Row],[M (KN.mm)]]/(Table1123[[#This Row],[b (mm)]]*Table1123[[#This Row],[d (mm)]])</f>
        <v>0.25604551920341395</v>
      </c>
      <c r="N30" s="8">
        <f>Table1123[[#This Row],[M (KN.mm)]]/(Table1123[[#This Row],[b (mm)]]*Table1123[[#This Row],[h (mm)]])</f>
        <v>0.21828069336220249</v>
      </c>
      <c r="O30" s="8">
        <f>Table1123[[#This Row],[M (KN.mm)]]/(Table1123[[#This Row],[b (mm)]]*Table1123[[#This Row],[h (mm)]]*Table1123[[#This Row],[L(mm)]])</f>
        <v>1.0494264103952042E-4</v>
      </c>
      <c r="P30" s="8">
        <f>Table1123[[#This Row],[M (KN.mm)]]/(Table1123[[#This Row],[b (mm)]]*Table1123[[#This Row],[d (mm)]]*Table1123[[#This Row],[L(mm)]])</f>
        <v>1.2309880730933365E-4</v>
      </c>
      <c r="Q30" s="8">
        <f>Table1123[[#This Row],[M (KN.mm)]]/(Table1123[[#This Row],[b (mm)]]*Table1123[[#This Row],[h (mm)]]*Table1123[[#This Row],[L(mm)]]*Table1123[[#This Row],[fc (Mpa)]])</f>
        <v>2.4986343104647719E-6</v>
      </c>
      <c r="R30" s="8">
        <f>Table1123[[#This Row],[M (KN.mm)]]/(Table1123[[#This Row],[b (mm)]]*Table1123[[#This Row],[h (mm)]]*Table1123[[#This Row],[L(mm)]]/2)</f>
        <v>2.0988528207904083E-4</v>
      </c>
      <c r="S30" s="8">
        <f>Table1123[[#This Row],[M (KN.mm)]]/(Table1123[[#This Row],[a (mm)]]*Table1123[[#This Row],[b (mm)]]*Table1123[[#This Row],[h (mm)]]*Table1123[[#This Row],[L(mm)]]/2)</f>
        <v>2.0173518077570247E-7</v>
      </c>
      <c r="T30" s="8">
        <f>G30/($AN$5*AK30*0.001*Table1123[[#This Row],[pho (%)]])</f>
        <v>5.0315992694916777E-7</v>
      </c>
      <c r="U30" s="8">
        <f>Table1123[[#This Row],[M (KN.mm)]]/(Table1123[[#This Row],[b (mm)]]*Table1123[[#This Row],[d (mm)]]*Table1123[[#This Row],[pho (%)]])</f>
        <v>0.14886367395547326</v>
      </c>
      <c r="V30" s="8">
        <f>E30*224.8/(2*SQRT(Table1123[[#This Row],[fc (Mpa)]]*145.037)*Table1123[[#This Row],[b (mm)]]*Table1123[[#This Row],[d (mm)]]*(1/25.4)^2)</f>
        <v>0.22865806911131434</v>
      </c>
      <c r="W30" s="8">
        <f>Table1123[[#This Row],[M (KN.mm)]]/$G$39</f>
        <v>0.11778563015312132</v>
      </c>
      <c r="X30" s="8">
        <f>E30*224.8/(2*SQRT(Table1123[[#This Row],[fc (Mpa)]]*145.037)*Table1123[[#This Row],[b (mm)]]*Table1123[[#This Row],[d (mm)]]*(1/25.4)^2+Table1123[[#This Row],[Av fy d/s (N)]]*0.2248)</f>
        <v>0.15553569468436068</v>
      </c>
      <c r="Y30" s="15">
        <v>0.50600000000000001</v>
      </c>
      <c r="Z30" s="8">
        <f>Table1123[[#This Row],[Av fy/(b S) (Mpa)]]*Table1123[[#This Row],[d (mm)]]*Table1123[[#This Row],[b (mm)]]</f>
        <v>102802.50200000001</v>
      </c>
      <c r="AA30" s="8">
        <f>Table1123[[#This Row],[d (mm)]]/175</f>
        <v>1.6514285714285715</v>
      </c>
      <c r="AB30" s="8">
        <f>Table1123[[#This Row],[a/d]]*Table1123[[#This Row],[d]]</f>
        <v>1040.4000000000001</v>
      </c>
      <c r="AC30" s="8">
        <f>Table1123[[#This Row],[d]]</f>
        <v>289</v>
      </c>
      <c r="AD30" s="15">
        <v>339</v>
      </c>
      <c r="AE30" s="15">
        <v>703</v>
      </c>
      <c r="AF30" s="15">
        <v>42</v>
      </c>
      <c r="AG30" s="8">
        <f>Table1123[[#This Row],[pho (%)]]/100*Table1123[[#This Row],[b (mm)]]*Table1123[[#This Row],[d (mm)]]</f>
        <v>3494.4724000000001</v>
      </c>
      <c r="AH30" s="15">
        <v>1.72</v>
      </c>
      <c r="AI30" s="8">
        <v>465</v>
      </c>
      <c r="AJ30" s="8">
        <f>(1/3-0.21*(MIN(Table1123[[#This Row],[b (mm)]],AD30)/MAX(Table1123[[#This Row],[b (mm)]],AD30))*(MIN(Table1123[[#This Row],[b (mm)]],AD30)^4/(12*MAX(Table1123[[#This Row],[b (mm)]],AD30)^4)))*MAX(Table1123[[#This Row],[b (mm)]],AD30)*MIN(Table1123[[#This Row],[b (mm)]],AD30)^3</f>
        <v>9116712072.5532265</v>
      </c>
      <c r="AK30" s="8">
        <f>Table1123[[#This Row],[b (mm)]]*AD30^3/12</f>
        <v>2282302329.75</v>
      </c>
      <c r="AL30" s="15">
        <v>2080</v>
      </c>
      <c r="AM30" s="12"/>
      <c r="AN30" s="12"/>
      <c r="AO30" s="12"/>
      <c r="AP30" s="1"/>
    </row>
    <row r="31" spans="1:42" x14ac:dyDescent="0.25">
      <c r="A31" s="60" t="s">
        <v>112</v>
      </c>
      <c r="B31" s="15">
        <v>2</v>
      </c>
      <c r="C31" s="3">
        <v>30</v>
      </c>
      <c r="D31" s="15">
        <v>3.6</v>
      </c>
      <c r="E31" s="15">
        <v>99.5</v>
      </c>
      <c r="F31" s="15">
        <v>289</v>
      </c>
      <c r="G31" s="8">
        <f t="shared" si="16"/>
        <v>103519.8</v>
      </c>
      <c r="H31" s="8">
        <f t="shared" si="17"/>
        <v>1.7222157979616111E-6</v>
      </c>
      <c r="I31" s="8">
        <f>G31/(Table1123[[#This Row],[b (mm)]]*AC31^2)</f>
        <v>1.7630816028193555E-3</v>
      </c>
      <c r="J31" s="8">
        <f t="shared" si="18"/>
        <v>0.22044031043002696</v>
      </c>
      <c r="K31" s="8">
        <f t="shared" si="19"/>
        <v>3.4758033199898418E-7</v>
      </c>
      <c r="L31" s="8">
        <f>E31/(Table1123[[#This Row],[b (mm)]]*AC31)</f>
        <v>4.8974488967204325E-4</v>
      </c>
      <c r="M31" s="8">
        <f>Table1123[[#This Row],[M (KN.mm)]]/(Table1123[[#This Row],[b (mm)]]*Table1123[[#This Row],[d (mm)]])</f>
        <v>0.50953058321479372</v>
      </c>
      <c r="N31" s="8">
        <f>Table1123[[#This Row],[M (KN.mm)]]/(Table1123[[#This Row],[b (mm)]]*Table1123[[#This Row],[h (mm)]])</f>
        <v>0.43437857979078287</v>
      </c>
      <c r="O31" s="8">
        <f>Table1123[[#This Row],[M (KN.mm)]]/(Table1123[[#This Row],[b (mm)]]*Table1123[[#This Row],[h (mm)]]*Table1123[[#This Row],[L(mm)]])</f>
        <v>2.0883585566864563E-4</v>
      </c>
      <c r="P31" s="8">
        <f>Table1123[[#This Row],[M (KN.mm)]]/(Table1123[[#This Row],[b (mm)]]*Table1123[[#This Row],[d (mm)]]*Table1123[[#This Row],[L(mm)]])</f>
        <v>2.4496662654557394E-4</v>
      </c>
      <c r="Q31" s="8">
        <f>Table1123[[#This Row],[M (KN.mm)]]/(Table1123[[#This Row],[b (mm)]]*Table1123[[#This Row],[h (mm)]]*Table1123[[#This Row],[L(mm)]]*Table1123[[#This Row],[fc (Mpa)]])</f>
        <v>4.9722822778248955E-6</v>
      </c>
      <c r="R31" s="8">
        <f>Table1123[[#This Row],[M (KN.mm)]]/(Table1123[[#This Row],[b (mm)]]*Table1123[[#This Row],[h (mm)]]*Table1123[[#This Row],[L(mm)]]/2)</f>
        <v>4.1767171133729126E-4</v>
      </c>
      <c r="S31" s="8">
        <f>Table1123[[#This Row],[M (KN.mm)]]/(Table1123[[#This Row],[a (mm)]]*Table1123[[#This Row],[b (mm)]]*Table1123[[#This Row],[h (mm)]]*Table1123[[#This Row],[L(mm)]]/2)</f>
        <v>4.0145300974364786E-7</v>
      </c>
      <c r="T31" s="8">
        <f>G31/($AN$5*AK31*0.001*Table1123[[#This Row],[pho (%)]])</f>
        <v>1.0012882546288438E-6</v>
      </c>
      <c r="U31" s="8">
        <f>Table1123[[#This Row],[M (KN.mm)]]/(Table1123[[#This Row],[b (mm)]]*Table1123[[#This Row],[d (mm)]]*Table1123[[#This Row],[pho (%)]])</f>
        <v>0.29623871117139172</v>
      </c>
      <c r="V31" s="8">
        <f>E31*224.8/(2*SQRT(Table1123[[#This Row],[fc (Mpa)]]*145.037)*Table1123[[#This Row],[b (mm)]]*Table1123[[#This Row],[d (mm)]]*(1/25.4)^2)</f>
        <v>0.45502955753151558</v>
      </c>
      <c r="W31" s="8">
        <f>Table1123[[#This Row],[M (KN.mm)]]/$G$39</f>
        <v>0.2343934040047114</v>
      </c>
      <c r="X31" s="8">
        <f>E31*224.8/(2*SQRT(Table1123[[#This Row],[fc (Mpa)]]*145.037)*Table1123[[#This Row],[b (mm)]]*Table1123[[#This Row],[d (mm)]]*(1/25.4)^2+Table1123[[#This Row],[Av fy d/s (N)]]*0.2248)</f>
        <v>0.30951603242187781</v>
      </c>
      <c r="Y31" s="15">
        <v>0.50600000000000001</v>
      </c>
      <c r="Z31" s="8">
        <f>Table1123[[#This Row],[Av fy/(b S) (Mpa)]]*Table1123[[#This Row],[d (mm)]]*Table1123[[#This Row],[b (mm)]]</f>
        <v>102802.50200000001</v>
      </c>
      <c r="AA31" s="8">
        <f>Table1123[[#This Row],[d (mm)]]/175</f>
        <v>1.6514285714285715</v>
      </c>
      <c r="AB31" s="8">
        <f>Table1123[[#This Row],[a/d]]*Table1123[[#This Row],[d]]</f>
        <v>1040.4000000000001</v>
      </c>
      <c r="AC31" s="8">
        <f>Table1123[[#This Row],[d]]</f>
        <v>289</v>
      </c>
      <c r="AD31" s="15">
        <v>339</v>
      </c>
      <c r="AE31" s="15">
        <v>703</v>
      </c>
      <c r="AF31" s="15">
        <v>42</v>
      </c>
      <c r="AG31" s="8">
        <f>Table1123[[#This Row],[pho (%)]]/100*Table1123[[#This Row],[b (mm)]]*Table1123[[#This Row],[d (mm)]]</f>
        <v>3494.4724000000001</v>
      </c>
      <c r="AH31" s="15">
        <v>1.72</v>
      </c>
      <c r="AI31" s="8">
        <v>465</v>
      </c>
      <c r="AJ31" s="8">
        <f>(1/3-0.21*(MIN(Table1123[[#This Row],[b (mm)]],AD31)/MAX(Table1123[[#This Row],[b (mm)]],AD31))*(MIN(Table1123[[#This Row],[b (mm)]],AD31)^4/(12*MAX(Table1123[[#This Row],[b (mm)]],AD31)^4)))*MAX(Table1123[[#This Row],[b (mm)]],AD31)*MIN(Table1123[[#This Row],[b (mm)]],AD31)^3</f>
        <v>9116712072.5532265</v>
      </c>
      <c r="AK31" s="8">
        <f>Table1123[[#This Row],[b (mm)]]*AD31^3/12</f>
        <v>2282302329.75</v>
      </c>
      <c r="AL31" s="15">
        <v>2080</v>
      </c>
      <c r="AM31" s="1"/>
      <c r="AN31" s="1"/>
    </row>
    <row r="32" spans="1:42" x14ac:dyDescent="0.25">
      <c r="A32" s="60" t="s">
        <v>112</v>
      </c>
      <c r="B32" s="15">
        <v>3</v>
      </c>
      <c r="C32" s="3">
        <v>31</v>
      </c>
      <c r="D32" s="15">
        <v>3.6</v>
      </c>
      <c r="E32" s="15">
        <v>149.5</v>
      </c>
      <c r="F32" s="15">
        <v>289</v>
      </c>
      <c r="G32" s="8">
        <f t="shared" si="16"/>
        <v>155539.80000000002</v>
      </c>
      <c r="H32" s="8">
        <f t="shared" si="17"/>
        <v>2.5876508723141797E-6</v>
      </c>
      <c r="I32" s="8">
        <f>G32/(Table1123[[#This Row],[b (mm)]]*AC32^2)</f>
        <v>2.6490522575024489E-3</v>
      </c>
      <c r="J32" s="8">
        <f t="shared" si="18"/>
        <v>0.33121433577174908</v>
      </c>
      <c r="K32" s="8">
        <f t="shared" si="19"/>
        <v>5.2224381541555909E-7</v>
      </c>
      <c r="L32" s="8">
        <f>E32/(Table1123[[#This Row],[b (mm)]]*AC32)</f>
        <v>7.3584784930623578E-4</v>
      </c>
      <c r="M32" s="8">
        <f>Table1123[[#This Row],[M (KN.mm)]]/(Table1123[[#This Row],[b (mm)]]*Table1123[[#This Row],[d (mm)]])</f>
        <v>0.76557610241820773</v>
      </c>
      <c r="N32" s="8">
        <f>Table1123[[#This Row],[M (KN.mm)]]/(Table1123[[#This Row],[b (mm)]]*Table1123[[#This Row],[h (mm)]])</f>
        <v>0.65265927315298533</v>
      </c>
      <c r="O32" s="8">
        <f>Table1123[[#This Row],[M (KN.mm)]]/(Table1123[[#This Row],[b (mm)]]*Table1123[[#This Row],[h (mm)]]*Table1123[[#This Row],[L(mm)]])</f>
        <v>3.1377849670816604E-4</v>
      </c>
      <c r="P32" s="8">
        <f>Table1123[[#This Row],[M (KN.mm)]]/(Table1123[[#This Row],[b (mm)]]*Table1123[[#This Row],[d (mm)]]*Table1123[[#This Row],[L(mm)]])</f>
        <v>3.6806543385490756E-4</v>
      </c>
      <c r="Q32" s="8">
        <f>Table1123[[#This Row],[M (KN.mm)]]/(Table1123[[#This Row],[b (mm)]]*Table1123[[#This Row],[h (mm)]]*Table1123[[#This Row],[L(mm)]]*Table1123[[#This Row],[fc (Mpa)]])</f>
        <v>7.4709165882896678E-6</v>
      </c>
      <c r="R32" s="8">
        <f>Table1123[[#This Row],[M (KN.mm)]]/(Table1123[[#This Row],[b (mm)]]*Table1123[[#This Row],[h (mm)]]*Table1123[[#This Row],[L(mm)]]/2)</f>
        <v>6.2755699341633209E-4</v>
      </c>
      <c r="S32" s="8">
        <f>Table1123[[#This Row],[M (KN.mm)]]/(Table1123[[#This Row],[a (mm)]]*Table1123[[#This Row],[b (mm)]]*Table1123[[#This Row],[h (mm)]]*Table1123[[#This Row],[L(mm)]]/2)</f>
        <v>6.0318819051935035E-7</v>
      </c>
      <c r="T32" s="8">
        <f>G32/($AN$5*AK32*0.001*Table1123[[#This Row],[pho (%)]])</f>
        <v>1.5044481815780116E-6</v>
      </c>
      <c r="U32" s="8">
        <f>Table1123[[#This Row],[M (KN.mm)]]/(Table1123[[#This Row],[b (mm)]]*Table1123[[#This Row],[d (mm)]]*Table1123[[#This Row],[pho (%)]])</f>
        <v>0.44510238512686501</v>
      </c>
      <c r="V32" s="8">
        <f>E32*224.8/(2*SQRT(Table1123[[#This Row],[fc (Mpa)]]*145.037)*Table1123[[#This Row],[b (mm)]]*Table1123[[#This Row],[d (mm)]]*(1/25.4)^2)</f>
        <v>0.68368762664282989</v>
      </c>
      <c r="W32" s="8">
        <f>Table1123[[#This Row],[M (KN.mm)]]/$G$39</f>
        <v>0.35217903415783275</v>
      </c>
      <c r="X32" s="8">
        <f>E32*224.8/(2*SQRT(Table1123[[#This Row],[fc (Mpa)]]*145.037)*Table1123[[#This Row],[b (mm)]]*Table1123[[#This Row],[d (mm)]]*(1/25.4)^2+Table1123[[#This Row],[Av fy d/s (N)]]*0.2248)</f>
        <v>0.46505172710623843</v>
      </c>
      <c r="Y32" s="15">
        <v>0.50600000000000001</v>
      </c>
      <c r="Z32" s="8">
        <f>Table1123[[#This Row],[Av fy/(b S) (Mpa)]]*Table1123[[#This Row],[d (mm)]]*Table1123[[#This Row],[b (mm)]]</f>
        <v>102802.50200000001</v>
      </c>
      <c r="AA32" s="8">
        <f>Table1123[[#This Row],[d (mm)]]/175</f>
        <v>1.6514285714285715</v>
      </c>
      <c r="AB32" s="8">
        <f>Table1123[[#This Row],[a/d]]*Table1123[[#This Row],[d]]</f>
        <v>1040.4000000000001</v>
      </c>
      <c r="AC32" s="8">
        <f>Table1123[[#This Row],[d]]</f>
        <v>289</v>
      </c>
      <c r="AD32" s="15">
        <v>339</v>
      </c>
      <c r="AE32" s="15">
        <v>703</v>
      </c>
      <c r="AF32" s="15">
        <v>42</v>
      </c>
      <c r="AG32" s="8">
        <f>Table1123[[#This Row],[pho (%)]]/100*Table1123[[#This Row],[b (mm)]]*Table1123[[#This Row],[d (mm)]]</f>
        <v>3494.4724000000001</v>
      </c>
      <c r="AH32" s="15">
        <v>1.72</v>
      </c>
      <c r="AI32" s="8">
        <v>465</v>
      </c>
      <c r="AJ32" s="8">
        <f>(1/3-0.21*(MIN(Table1123[[#This Row],[b (mm)]],AD32)/MAX(Table1123[[#This Row],[b (mm)]],AD32))*(MIN(Table1123[[#This Row],[b (mm)]],AD32)^4/(12*MAX(Table1123[[#This Row],[b (mm)]],AD32)^4)))*MAX(Table1123[[#This Row],[b (mm)]],AD32)*MIN(Table1123[[#This Row],[b (mm)]],AD32)^3</f>
        <v>9116712072.5532265</v>
      </c>
      <c r="AK32" s="8">
        <f>Table1123[[#This Row],[b (mm)]]*AD32^3/12</f>
        <v>2282302329.75</v>
      </c>
      <c r="AL32" s="15">
        <v>2080</v>
      </c>
      <c r="AM32" s="1"/>
      <c r="AN32" s="1"/>
    </row>
    <row r="33" spans="1:40" x14ac:dyDescent="0.25">
      <c r="A33" s="60" t="s">
        <v>112</v>
      </c>
      <c r="B33" s="15">
        <v>4</v>
      </c>
      <c r="C33" s="3">
        <v>32</v>
      </c>
      <c r="D33" s="15">
        <v>3.6</v>
      </c>
      <c r="E33" s="15">
        <v>200</v>
      </c>
      <c r="F33" s="15">
        <v>289</v>
      </c>
      <c r="G33" s="8">
        <f t="shared" si="16"/>
        <v>208080.00000000003</v>
      </c>
      <c r="H33" s="8">
        <f t="shared" si="17"/>
        <v>3.4617402974102742E-6</v>
      </c>
      <c r="I33" s="8">
        <f>G33/(Table1123[[#This Row],[b (mm)]]*AC33^2)</f>
        <v>3.5438826187323734E-3</v>
      </c>
      <c r="J33" s="8">
        <f t="shared" si="18"/>
        <v>0.44309610136688837</v>
      </c>
      <c r="K33" s="8">
        <f t="shared" si="19"/>
        <v>6.9865393366629978E-7</v>
      </c>
      <c r="L33" s="8">
        <f>E33/(Table1123[[#This Row],[b (mm)]]*AC33)</f>
        <v>9.8441183853677033E-4</v>
      </c>
      <c r="M33" s="8">
        <f>Table1123[[#This Row],[M (KN.mm)]]/(Table1123[[#This Row],[b (mm)]]*Table1123[[#This Row],[d (mm)]])</f>
        <v>1.0241820768136558</v>
      </c>
      <c r="N33" s="8">
        <f>Table1123[[#This Row],[M (KN.mm)]]/(Table1123[[#This Row],[b (mm)]]*Table1123[[#This Row],[h (mm)]])</f>
        <v>0.87312277344880995</v>
      </c>
      <c r="O33" s="8">
        <f>Table1123[[#This Row],[M (KN.mm)]]/(Table1123[[#This Row],[b (mm)]]*Table1123[[#This Row],[h (mm)]]*Table1123[[#This Row],[L(mm)]])</f>
        <v>4.1977056415808166E-4</v>
      </c>
      <c r="P33" s="8">
        <f>Table1123[[#This Row],[M (KN.mm)]]/(Table1123[[#This Row],[b (mm)]]*Table1123[[#This Row],[d (mm)]]*Table1123[[#This Row],[L(mm)]])</f>
        <v>4.9239522923733459E-4</v>
      </c>
      <c r="Q33" s="8">
        <f>Table1123[[#This Row],[M (KN.mm)]]/(Table1123[[#This Row],[b (mm)]]*Table1123[[#This Row],[h (mm)]]*Table1123[[#This Row],[L(mm)]]*Table1123[[#This Row],[fc (Mpa)]])</f>
        <v>9.9945372418590876E-6</v>
      </c>
      <c r="R33" s="8">
        <f>Table1123[[#This Row],[M (KN.mm)]]/(Table1123[[#This Row],[b (mm)]]*Table1123[[#This Row],[h (mm)]]*Table1123[[#This Row],[L(mm)]]/2)</f>
        <v>8.3954112831616332E-4</v>
      </c>
      <c r="S33" s="8">
        <f>Table1123[[#This Row],[M (KN.mm)]]/(Table1123[[#This Row],[a (mm)]]*Table1123[[#This Row],[b (mm)]]*Table1123[[#This Row],[h (mm)]]*Table1123[[#This Row],[L(mm)]]/2)</f>
        <v>8.0694072310280987E-7</v>
      </c>
      <c r="T33" s="8">
        <f>G33/($AN$5*AK33*0.001*Table1123[[#This Row],[pho (%)]])</f>
        <v>2.0126397077966711E-6</v>
      </c>
      <c r="U33" s="8">
        <f>Table1123[[#This Row],[M (KN.mm)]]/(Table1123[[#This Row],[b (mm)]]*Table1123[[#This Row],[d (mm)]]*Table1123[[#This Row],[pho (%)]])</f>
        <v>0.59545469582189303</v>
      </c>
      <c r="V33" s="8">
        <f>E33*224.8/(2*SQRT(Table1123[[#This Row],[fc (Mpa)]]*145.037)*Table1123[[#This Row],[b (mm)]]*Table1123[[#This Row],[d (mm)]]*(1/25.4)^2)</f>
        <v>0.91463227644525735</v>
      </c>
      <c r="W33" s="8">
        <f>Table1123[[#This Row],[M (KN.mm)]]/$G$39</f>
        <v>0.47114252061248529</v>
      </c>
      <c r="X33" s="8">
        <f>E33*224.8/(2*SQRT(Table1123[[#This Row],[fc (Mpa)]]*145.037)*Table1123[[#This Row],[b (mm)]]*Table1123[[#This Row],[d (mm)]]*(1/25.4)^2+Table1123[[#This Row],[Av fy d/s (N)]]*0.2248)</f>
        <v>0.62214277873744273</v>
      </c>
      <c r="Y33" s="15">
        <v>0.50600000000000001</v>
      </c>
      <c r="Z33" s="8">
        <f>Table1123[[#This Row],[Av fy/(b S) (Mpa)]]*Table1123[[#This Row],[d (mm)]]*Table1123[[#This Row],[b (mm)]]</f>
        <v>102802.50200000001</v>
      </c>
      <c r="AA33" s="8">
        <f>Table1123[[#This Row],[d (mm)]]/175</f>
        <v>1.6514285714285715</v>
      </c>
      <c r="AB33" s="8">
        <f>Table1123[[#This Row],[a/d]]*Table1123[[#This Row],[d]]</f>
        <v>1040.4000000000001</v>
      </c>
      <c r="AC33" s="8">
        <f>Table1123[[#This Row],[d]]</f>
        <v>289</v>
      </c>
      <c r="AD33" s="15">
        <v>339</v>
      </c>
      <c r="AE33" s="15">
        <v>703</v>
      </c>
      <c r="AF33" s="15">
        <v>42</v>
      </c>
      <c r="AG33" s="8">
        <f>Table1123[[#This Row],[pho (%)]]/100*Table1123[[#This Row],[b (mm)]]*Table1123[[#This Row],[d (mm)]]</f>
        <v>3494.4724000000001</v>
      </c>
      <c r="AH33" s="15">
        <v>1.72</v>
      </c>
      <c r="AI33" s="8">
        <v>465</v>
      </c>
      <c r="AJ33" s="8">
        <f>(1/3-0.21*(MIN(Table1123[[#This Row],[b (mm)]],AD33)/MAX(Table1123[[#This Row],[b (mm)]],AD33))*(MIN(Table1123[[#This Row],[b (mm)]],AD33)^4/(12*MAX(Table1123[[#This Row],[b (mm)]],AD33)^4)))*MAX(Table1123[[#This Row],[b (mm)]],AD33)*MIN(Table1123[[#This Row],[b (mm)]],AD33)^3</f>
        <v>9116712072.5532265</v>
      </c>
      <c r="AK33" s="8">
        <f>Table1123[[#This Row],[b (mm)]]*AD33^3/12</f>
        <v>2282302329.75</v>
      </c>
      <c r="AL33" s="15">
        <v>2080</v>
      </c>
      <c r="AM33" s="1"/>
      <c r="AN33" s="1"/>
    </row>
    <row r="34" spans="1:40" x14ac:dyDescent="0.25">
      <c r="A34" s="60" t="s">
        <v>112</v>
      </c>
      <c r="B34" s="15">
        <v>5</v>
      </c>
      <c r="C34" s="3">
        <v>33</v>
      </c>
      <c r="D34" s="15">
        <v>3.6</v>
      </c>
      <c r="E34" s="15">
        <v>260</v>
      </c>
      <c r="F34" s="15">
        <v>289</v>
      </c>
      <c r="G34" s="8">
        <f t="shared" si="16"/>
        <v>270504</v>
      </c>
      <c r="H34" s="8">
        <f t="shared" si="17"/>
        <v>4.5002623866333558E-6</v>
      </c>
      <c r="I34" s="8">
        <f>G34/(Table1123[[#This Row],[b (mm)]]*AC34^2)</f>
        <v>4.6070474043520843E-3</v>
      </c>
      <c r="J34" s="8">
        <f t="shared" si="18"/>
        <v>0.5760249317769548</v>
      </c>
      <c r="K34" s="8">
        <f t="shared" si="19"/>
        <v>9.0825011376618972E-7</v>
      </c>
      <c r="L34" s="8">
        <f>E34/(Table1123[[#This Row],[b (mm)]]*AC34)</f>
        <v>1.2797353900978012E-3</v>
      </c>
      <c r="M34" s="8">
        <f>Table1123[[#This Row],[M (KN.mm)]]/(Table1123[[#This Row],[b (mm)]]*Table1123[[#This Row],[d (mm)]])</f>
        <v>1.3314366998577525</v>
      </c>
      <c r="N34" s="8">
        <f>Table1123[[#This Row],[M (KN.mm)]]/(Table1123[[#This Row],[b (mm)]]*Table1123[[#This Row],[h (mm)]])</f>
        <v>1.1350596054834527</v>
      </c>
      <c r="O34" s="8">
        <f>Table1123[[#This Row],[M (KN.mm)]]/(Table1123[[#This Row],[b (mm)]]*Table1123[[#This Row],[h (mm)]]*Table1123[[#This Row],[L(mm)]])</f>
        <v>5.4570173340550614E-4</v>
      </c>
      <c r="P34" s="8">
        <f>Table1123[[#This Row],[M (KN.mm)]]/(Table1123[[#This Row],[b (mm)]]*Table1123[[#This Row],[d (mm)]]*Table1123[[#This Row],[L(mm)]])</f>
        <v>6.4011379800853489E-4</v>
      </c>
      <c r="Q34" s="8">
        <f>Table1123[[#This Row],[M (KN.mm)]]/(Table1123[[#This Row],[b (mm)]]*Table1123[[#This Row],[h (mm)]]*Table1123[[#This Row],[L(mm)]]*Table1123[[#This Row],[fc (Mpa)]])</f>
        <v>1.2992898414416812E-5</v>
      </c>
      <c r="R34" s="8">
        <f>Table1123[[#This Row],[M (KN.mm)]]/(Table1123[[#This Row],[b (mm)]]*Table1123[[#This Row],[h (mm)]]*Table1123[[#This Row],[L(mm)]]/2)</f>
        <v>1.0914034668110123E-3</v>
      </c>
      <c r="S34" s="8">
        <f>Table1123[[#This Row],[M (KN.mm)]]/(Table1123[[#This Row],[a (mm)]]*Table1123[[#This Row],[b (mm)]]*Table1123[[#This Row],[h (mm)]]*Table1123[[#This Row],[L(mm)]]/2)</f>
        <v>1.0490229400336526E-6</v>
      </c>
      <c r="T34" s="8">
        <f>G34/($AN$5*AK34*0.001*Table1123[[#This Row],[pho (%)]])</f>
        <v>2.6164316201356718E-6</v>
      </c>
      <c r="U34" s="8">
        <f>Table1123[[#This Row],[M (KN.mm)]]/(Table1123[[#This Row],[b (mm)]]*Table1123[[#This Row],[d (mm)]]*Table1123[[#This Row],[pho (%)]])</f>
        <v>0.77409110456846075</v>
      </c>
      <c r="V34" s="8">
        <f>E34*224.8/(2*SQRT(Table1123[[#This Row],[fc (Mpa)]]*145.037)*Table1123[[#This Row],[b (mm)]]*Table1123[[#This Row],[d (mm)]]*(1/25.4)^2)</f>
        <v>1.1890219593788345</v>
      </c>
      <c r="W34" s="8">
        <f>Table1123[[#This Row],[M (KN.mm)]]/$G$39</f>
        <v>0.61248527679623077</v>
      </c>
      <c r="X34" s="8">
        <f>E34*224.8/(2*SQRT(Table1123[[#This Row],[fc (Mpa)]]*145.037)*Table1123[[#This Row],[b (mm)]]*Table1123[[#This Row],[d (mm)]]*(1/25.4)^2+Table1123[[#This Row],[Av fy d/s (N)]]*0.2248)</f>
        <v>0.80878561235867552</v>
      </c>
      <c r="Y34" s="15">
        <v>0.50600000000000001</v>
      </c>
      <c r="Z34" s="8">
        <f>Table1123[[#This Row],[Av fy/(b S) (Mpa)]]*Table1123[[#This Row],[d (mm)]]*Table1123[[#This Row],[b (mm)]]</f>
        <v>102802.50200000001</v>
      </c>
      <c r="AA34" s="8">
        <f>Table1123[[#This Row],[d (mm)]]/175</f>
        <v>1.6514285714285715</v>
      </c>
      <c r="AB34" s="8">
        <f>Table1123[[#This Row],[a/d]]*Table1123[[#This Row],[d]]</f>
        <v>1040.4000000000001</v>
      </c>
      <c r="AC34" s="8">
        <f>Table1123[[#This Row],[d]]</f>
        <v>289</v>
      </c>
      <c r="AD34" s="15">
        <v>339</v>
      </c>
      <c r="AE34" s="15">
        <v>703</v>
      </c>
      <c r="AF34" s="15">
        <v>42</v>
      </c>
      <c r="AG34" s="8">
        <f>Table1123[[#This Row],[pho (%)]]/100*Table1123[[#This Row],[b (mm)]]*Table1123[[#This Row],[d (mm)]]</f>
        <v>3494.4724000000001</v>
      </c>
      <c r="AH34" s="15">
        <v>1.72</v>
      </c>
      <c r="AI34" s="8">
        <v>465</v>
      </c>
      <c r="AJ34" s="8">
        <f>(1/3-0.21*(MIN(Table1123[[#This Row],[b (mm)]],AD34)/MAX(Table1123[[#This Row],[b (mm)]],AD34))*(MIN(Table1123[[#This Row],[b (mm)]],AD34)^4/(12*MAX(Table1123[[#This Row],[b (mm)]],AD34)^4)))*MAX(Table1123[[#This Row],[b (mm)]],AD34)*MIN(Table1123[[#This Row],[b (mm)]],AD34)^3</f>
        <v>9116712072.5532265</v>
      </c>
      <c r="AK34" s="8">
        <f>Table1123[[#This Row],[b (mm)]]*AD34^3/12</f>
        <v>2282302329.75</v>
      </c>
      <c r="AL34" s="15">
        <v>2080</v>
      </c>
      <c r="AM34" s="1"/>
      <c r="AN34" s="1"/>
    </row>
    <row r="35" spans="1:40" x14ac:dyDescent="0.25">
      <c r="A35" s="60" t="s">
        <v>112</v>
      </c>
      <c r="B35" s="15">
        <v>6</v>
      </c>
      <c r="C35" s="3">
        <v>34</v>
      </c>
      <c r="D35" s="15">
        <v>3.6</v>
      </c>
      <c r="E35" s="15">
        <v>275</v>
      </c>
      <c r="F35" s="15">
        <v>289</v>
      </c>
      <c r="G35" s="8">
        <f t="shared" si="16"/>
        <v>286110</v>
      </c>
      <c r="H35" s="8">
        <f t="shared" si="17"/>
        <v>4.7598929089391258E-6</v>
      </c>
      <c r="I35" s="8">
        <f>G35/(Table1123[[#This Row],[b (mm)]]*AC35^2)</f>
        <v>4.8728386007570127E-3</v>
      </c>
      <c r="J35" s="8">
        <f t="shared" si="18"/>
        <v>0.60925713937947146</v>
      </c>
      <c r="K35" s="8">
        <f t="shared" si="19"/>
        <v>9.6064915879116221E-7</v>
      </c>
      <c r="L35" s="8">
        <f>E35/(Table1123[[#This Row],[b (mm)]]*AC35)</f>
        <v>1.3535662779880591E-3</v>
      </c>
      <c r="M35" s="8">
        <f>Table1123[[#This Row],[M (KN.mm)]]/(Table1123[[#This Row],[b (mm)]]*Table1123[[#This Row],[d (mm)]])</f>
        <v>1.4082503556187767</v>
      </c>
      <c r="N35" s="8">
        <f>Table1123[[#This Row],[M (KN.mm)]]/(Table1123[[#This Row],[b (mm)]]*Table1123[[#This Row],[h (mm)]])</f>
        <v>1.2005438134921134</v>
      </c>
      <c r="O35" s="8">
        <f>Table1123[[#This Row],[M (KN.mm)]]/(Table1123[[#This Row],[b (mm)]]*Table1123[[#This Row],[h (mm)]]*Table1123[[#This Row],[L(mm)]])</f>
        <v>5.7718452571736223E-4</v>
      </c>
      <c r="P35" s="8">
        <f>Table1123[[#This Row],[M (KN.mm)]]/(Table1123[[#This Row],[b (mm)]]*Table1123[[#This Row],[d (mm)]]*Table1123[[#This Row],[L(mm)]])</f>
        <v>6.7704344020133491E-4</v>
      </c>
      <c r="Q35" s="8">
        <f>Table1123[[#This Row],[M (KN.mm)]]/(Table1123[[#This Row],[b (mm)]]*Table1123[[#This Row],[h (mm)]]*Table1123[[#This Row],[L(mm)]]*Table1123[[#This Row],[fc (Mpa)]])</f>
        <v>1.3742488707556243E-5</v>
      </c>
      <c r="R35" s="8">
        <f>Table1123[[#This Row],[M (KN.mm)]]/(Table1123[[#This Row],[b (mm)]]*Table1123[[#This Row],[h (mm)]]*Table1123[[#This Row],[L(mm)]]/2)</f>
        <v>1.1543690514347245E-3</v>
      </c>
      <c r="S35" s="8">
        <f>Table1123[[#This Row],[M (KN.mm)]]/(Table1123[[#This Row],[a (mm)]]*Table1123[[#This Row],[b (mm)]]*Table1123[[#This Row],[h (mm)]]*Table1123[[#This Row],[L(mm)]]/2)</f>
        <v>1.1095434942663634E-6</v>
      </c>
      <c r="T35" s="8">
        <f>G35/($AN$5*AK35*0.001*Table1123[[#This Row],[pho (%)]])</f>
        <v>2.7673795982204224E-6</v>
      </c>
      <c r="U35" s="8">
        <f>Table1123[[#This Row],[M (KN.mm)]]/(Table1123[[#This Row],[b (mm)]]*Table1123[[#This Row],[d (mm)]]*Table1123[[#This Row],[pho (%)]])</f>
        <v>0.81875020675510268</v>
      </c>
      <c r="V35" s="8">
        <f>E35*224.8/(2*SQRT(Table1123[[#This Row],[fc (Mpa)]]*145.037)*Table1123[[#This Row],[b (mm)]]*Table1123[[#This Row],[d (mm)]]*(1/25.4)^2)</f>
        <v>1.2576193801122288</v>
      </c>
      <c r="W35" s="8">
        <f>Table1123[[#This Row],[M (KN.mm)]]/$G$39</f>
        <v>0.6478209658421672</v>
      </c>
      <c r="X35" s="8">
        <f>E35*224.8/(2*SQRT(Table1123[[#This Row],[fc (Mpa)]]*145.037)*Table1123[[#This Row],[b (mm)]]*Table1123[[#This Row],[d (mm)]]*(1/25.4)^2+Table1123[[#This Row],[Av fy d/s (N)]]*0.2248)</f>
        <v>0.85544632076398375</v>
      </c>
      <c r="Y35" s="15">
        <v>0.50600000000000001</v>
      </c>
      <c r="Z35" s="8">
        <f>Table1123[[#This Row],[Av fy/(b S) (Mpa)]]*Table1123[[#This Row],[d (mm)]]*Table1123[[#This Row],[b (mm)]]</f>
        <v>102802.50200000001</v>
      </c>
      <c r="AA35" s="8">
        <f>Table1123[[#This Row],[d (mm)]]/175</f>
        <v>1.6514285714285715</v>
      </c>
      <c r="AB35" s="8">
        <f>Table1123[[#This Row],[a/d]]*Table1123[[#This Row],[d]]</f>
        <v>1040.4000000000001</v>
      </c>
      <c r="AC35" s="8">
        <f>Table1123[[#This Row],[d]]</f>
        <v>289</v>
      </c>
      <c r="AD35" s="15">
        <v>339</v>
      </c>
      <c r="AE35" s="15">
        <v>703</v>
      </c>
      <c r="AF35" s="15">
        <v>42</v>
      </c>
      <c r="AG35" s="8">
        <f>Table1123[[#This Row],[pho (%)]]/100*Table1123[[#This Row],[b (mm)]]*Table1123[[#This Row],[d (mm)]]</f>
        <v>3494.4724000000001</v>
      </c>
      <c r="AH35" s="15">
        <v>1.72</v>
      </c>
      <c r="AI35" s="8">
        <v>465</v>
      </c>
      <c r="AJ35" s="8">
        <f>(1/3-0.21*(MIN(Table1123[[#This Row],[b (mm)]],AD35)/MAX(Table1123[[#This Row],[b (mm)]],AD35))*(MIN(Table1123[[#This Row],[b (mm)]],AD35)^4/(12*MAX(Table1123[[#This Row],[b (mm)]],AD35)^4)))*MAX(Table1123[[#This Row],[b (mm)]],AD35)*MIN(Table1123[[#This Row],[b (mm)]],AD35)^3</f>
        <v>9116712072.5532265</v>
      </c>
      <c r="AK35" s="8">
        <f>Table1123[[#This Row],[b (mm)]]*AD35^3/12</f>
        <v>2282302329.75</v>
      </c>
      <c r="AL35" s="15">
        <v>2080</v>
      </c>
      <c r="AM35" s="1"/>
      <c r="AN35" s="1"/>
    </row>
    <row r="36" spans="1:40" x14ac:dyDescent="0.25">
      <c r="A36" s="60" t="s">
        <v>112</v>
      </c>
      <c r="B36" s="15">
        <v>7</v>
      </c>
      <c r="C36" s="3">
        <v>35</v>
      </c>
      <c r="D36" s="15">
        <v>3.6</v>
      </c>
      <c r="E36" s="15">
        <v>312</v>
      </c>
      <c r="F36" s="15">
        <v>289</v>
      </c>
      <c r="G36" s="8">
        <f t="shared" si="16"/>
        <v>324604.80000000005</v>
      </c>
      <c r="H36" s="8">
        <f t="shared" si="17"/>
        <v>5.4003148639600272E-6</v>
      </c>
      <c r="I36" s="8">
        <f>G36/(Table1123[[#This Row],[b (mm)]]*AC36^2)</f>
        <v>5.5284568852225022E-3</v>
      </c>
      <c r="J36" s="8">
        <f t="shared" si="18"/>
        <v>0.69122991813234591</v>
      </c>
      <c r="K36" s="8">
        <f t="shared" si="19"/>
        <v>1.0899001365194277E-6</v>
      </c>
      <c r="L36" s="8">
        <f>E36/(Table1123[[#This Row],[b (mm)]]*AC36)</f>
        <v>1.5356824681173615E-3</v>
      </c>
      <c r="M36" s="8">
        <f>Table1123[[#This Row],[M (KN.mm)]]/(Table1123[[#This Row],[b (mm)]]*Table1123[[#This Row],[d (mm)]])</f>
        <v>1.5977240398293031</v>
      </c>
      <c r="N36" s="8">
        <f>Table1123[[#This Row],[M (KN.mm)]]/(Table1123[[#This Row],[b (mm)]]*Table1123[[#This Row],[h (mm)]])</f>
        <v>1.3620715265801435</v>
      </c>
      <c r="O36" s="8">
        <f>Table1123[[#This Row],[M (KN.mm)]]/(Table1123[[#This Row],[b (mm)]]*Table1123[[#This Row],[h (mm)]]*Table1123[[#This Row],[L(mm)]])</f>
        <v>6.5484208008660747E-4</v>
      </c>
      <c r="P36" s="8">
        <f>Table1123[[#This Row],[M (KN.mm)]]/(Table1123[[#This Row],[b (mm)]]*Table1123[[#This Row],[d (mm)]]*Table1123[[#This Row],[L(mm)]])</f>
        <v>7.6813655761024194E-4</v>
      </c>
      <c r="Q36" s="8">
        <f>Table1123[[#This Row],[M (KN.mm)]]/(Table1123[[#This Row],[b (mm)]]*Table1123[[#This Row],[h (mm)]]*Table1123[[#This Row],[L(mm)]]*Table1123[[#This Row],[fc (Mpa)]])</f>
        <v>1.5591478097300177E-5</v>
      </c>
      <c r="R36" s="8">
        <f>Table1123[[#This Row],[M (KN.mm)]]/(Table1123[[#This Row],[b (mm)]]*Table1123[[#This Row],[h (mm)]]*Table1123[[#This Row],[L(mm)]]/2)</f>
        <v>1.3096841601732149E-3</v>
      </c>
      <c r="S36" s="8">
        <f>Table1123[[#This Row],[M (KN.mm)]]/(Table1123[[#This Row],[a (mm)]]*Table1123[[#This Row],[b (mm)]]*Table1123[[#This Row],[h (mm)]]*Table1123[[#This Row],[L(mm)]]/2)</f>
        <v>1.2588275280403834E-6</v>
      </c>
      <c r="T36" s="8">
        <f>G36/($AN$5*AK36*0.001*Table1123[[#This Row],[pho (%)]])</f>
        <v>3.139717944162807E-6</v>
      </c>
      <c r="U36" s="8">
        <f>Table1123[[#This Row],[M (KN.mm)]]/(Table1123[[#This Row],[b (mm)]]*Table1123[[#This Row],[d (mm)]]*Table1123[[#This Row],[pho (%)]])</f>
        <v>0.9289093254821531</v>
      </c>
      <c r="V36" s="8">
        <f>E36*224.8/(2*SQRT(Table1123[[#This Row],[fc (Mpa)]]*145.037)*Table1123[[#This Row],[b (mm)]]*Table1123[[#This Row],[d (mm)]]*(1/25.4)^2)</f>
        <v>1.4268263512546016</v>
      </c>
      <c r="W36" s="8">
        <f>Table1123[[#This Row],[M (KN.mm)]]/$G$39</f>
        <v>0.73498233215547704</v>
      </c>
      <c r="X36" s="8">
        <f>E36*224.8/(2*SQRT(Table1123[[#This Row],[fc (Mpa)]]*145.037)*Table1123[[#This Row],[b (mm)]]*Table1123[[#This Row],[d (mm)]]*(1/25.4)^2+Table1123[[#This Row],[Av fy d/s (N)]]*0.2248)</f>
        <v>0.97054273483041076</v>
      </c>
      <c r="Y36" s="15">
        <v>0.50600000000000001</v>
      </c>
      <c r="Z36" s="8">
        <f>Table1123[[#This Row],[Av fy/(b S) (Mpa)]]*Table1123[[#This Row],[d (mm)]]*Table1123[[#This Row],[b (mm)]]</f>
        <v>102802.50200000001</v>
      </c>
      <c r="AA36" s="8">
        <f>Table1123[[#This Row],[d (mm)]]/175</f>
        <v>1.6514285714285715</v>
      </c>
      <c r="AB36" s="8">
        <f>Table1123[[#This Row],[a/d]]*Table1123[[#This Row],[d]]</f>
        <v>1040.4000000000001</v>
      </c>
      <c r="AC36" s="8">
        <f>Table1123[[#This Row],[d]]</f>
        <v>289</v>
      </c>
      <c r="AD36" s="15">
        <v>339</v>
      </c>
      <c r="AE36" s="15">
        <v>703</v>
      </c>
      <c r="AF36" s="15">
        <v>42</v>
      </c>
      <c r="AG36" s="8">
        <f>Table1123[[#This Row],[pho (%)]]/100*Table1123[[#This Row],[b (mm)]]*Table1123[[#This Row],[d (mm)]]</f>
        <v>3494.4724000000001</v>
      </c>
      <c r="AH36" s="15">
        <v>1.72</v>
      </c>
      <c r="AI36" s="8">
        <v>465</v>
      </c>
      <c r="AJ36" s="8">
        <f>(1/3-0.21*(MIN(Table1123[[#This Row],[b (mm)]],AD36)/MAX(Table1123[[#This Row],[b (mm)]],AD36))*(MIN(Table1123[[#This Row],[b (mm)]],AD36)^4/(12*MAX(Table1123[[#This Row],[b (mm)]],AD36)^4)))*MAX(Table1123[[#This Row],[b (mm)]],AD36)*MIN(Table1123[[#This Row],[b (mm)]],AD36)^3</f>
        <v>9116712072.5532265</v>
      </c>
      <c r="AK36" s="8">
        <f>Table1123[[#This Row],[b (mm)]]*AD36^3/12</f>
        <v>2282302329.75</v>
      </c>
      <c r="AL36" s="15">
        <v>2080</v>
      </c>
      <c r="AM36" s="1"/>
      <c r="AN36" s="1"/>
    </row>
    <row r="37" spans="1:40" x14ac:dyDescent="0.25">
      <c r="A37" s="60" t="s">
        <v>112</v>
      </c>
      <c r="B37" s="15">
        <v>8</v>
      </c>
      <c r="C37" s="3">
        <v>36</v>
      </c>
      <c r="D37" s="15">
        <v>3.6</v>
      </c>
      <c r="E37" s="15">
        <v>350</v>
      </c>
      <c r="F37" s="15">
        <v>289</v>
      </c>
      <c r="G37" s="8">
        <f t="shared" si="16"/>
        <v>364140.00000000006</v>
      </c>
      <c r="H37" s="8">
        <f t="shared" si="17"/>
        <v>6.05804552046798E-6</v>
      </c>
      <c r="I37" s="8">
        <f>G37/(Table1123[[#This Row],[b (mm)]]*AC37^2)</f>
        <v>6.2017945827816537E-3</v>
      </c>
      <c r="J37" s="8">
        <f t="shared" si="18"/>
        <v>0.77541817739205465</v>
      </c>
      <c r="K37" s="8">
        <f t="shared" si="19"/>
        <v>1.2226443839160247E-6</v>
      </c>
      <c r="L37" s="8">
        <f>E37/(Table1123[[#This Row],[b (mm)]]*AC37)</f>
        <v>1.722720717439348E-3</v>
      </c>
      <c r="M37" s="8">
        <f>Table1123[[#This Row],[M (KN.mm)]]/(Table1123[[#This Row],[b (mm)]]*Table1123[[#This Row],[d (mm)]])</f>
        <v>1.7923186344238979</v>
      </c>
      <c r="N37" s="8">
        <f>Table1123[[#This Row],[M (KN.mm)]]/(Table1123[[#This Row],[b (mm)]]*Table1123[[#This Row],[h (mm)]])</f>
        <v>1.5279648535354173</v>
      </c>
      <c r="O37" s="8">
        <f>Table1123[[#This Row],[M (KN.mm)]]/(Table1123[[#This Row],[b (mm)]]*Table1123[[#This Row],[h (mm)]]*Table1123[[#This Row],[L(mm)]])</f>
        <v>7.3459848727664291E-4</v>
      </c>
      <c r="P37" s="8">
        <f>Table1123[[#This Row],[M (KN.mm)]]/(Table1123[[#This Row],[b (mm)]]*Table1123[[#This Row],[d (mm)]]*Table1123[[#This Row],[L(mm)]])</f>
        <v>8.6169165116533556E-4</v>
      </c>
      <c r="Q37" s="8">
        <f>Table1123[[#This Row],[M (KN.mm)]]/(Table1123[[#This Row],[b (mm)]]*Table1123[[#This Row],[h (mm)]]*Table1123[[#This Row],[L(mm)]]*Table1123[[#This Row],[fc (Mpa)]])</f>
        <v>1.7490440173253404E-5</v>
      </c>
      <c r="R37" s="8">
        <f>Table1123[[#This Row],[M (KN.mm)]]/(Table1123[[#This Row],[b (mm)]]*Table1123[[#This Row],[h (mm)]]*Table1123[[#This Row],[L(mm)]]/2)</f>
        <v>1.4691969745532858E-3</v>
      </c>
      <c r="S37" s="8">
        <f>Table1123[[#This Row],[M (KN.mm)]]/(Table1123[[#This Row],[a (mm)]]*Table1123[[#This Row],[b (mm)]]*Table1123[[#This Row],[h (mm)]]*Table1123[[#This Row],[L(mm)]]/2)</f>
        <v>1.4121462654299173E-6</v>
      </c>
      <c r="T37" s="8">
        <f>G37/($AN$5*AK37*0.001*Table1123[[#This Row],[pho (%)]])</f>
        <v>3.5221194886441746E-6</v>
      </c>
      <c r="U37" s="8">
        <f>Table1123[[#This Row],[M (KN.mm)]]/(Table1123[[#This Row],[b (mm)]]*Table1123[[#This Row],[d (mm)]]*Table1123[[#This Row],[pho (%)]])</f>
        <v>1.0420457176883127</v>
      </c>
      <c r="V37" s="8">
        <f>E37*224.8/(2*SQRT(Table1123[[#This Row],[fc (Mpa)]]*145.037)*Table1123[[#This Row],[b (mm)]]*Table1123[[#This Row],[d (mm)]]*(1/25.4)^2)</f>
        <v>1.6006064837792005</v>
      </c>
      <c r="W37" s="8">
        <f>Table1123[[#This Row],[M (KN.mm)]]/$G$39</f>
        <v>0.82449941107184932</v>
      </c>
      <c r="X37" s="8">
        <f>E37*224.8/(2*SQRT(Table1123[[#This Row],[fc (Mpa)]]*145.037)*Table1123[[#This Row],[b (mm)]]*Table1123[[#This Row],[d (mm)]]*(1/25.4)^2+Table1123[[#This Row],[Av fy d/s (N)]]*0.2248)</f>
        <v>1.0887498627905248</v>
      </c>
      <c r="Y37" s="15">
        <v>0.50600000000000001</v>
      </c>
      <c r="Z37" s="8">
        <f>Table1123[[#This Row],[Av fy/(b S) (Mpa)]]*Table1123[[#This Row],[d (mm)]]*Table1123[[#This Row],[b (mm)]]</f>
        <v>102802.50200000001</v>
      </c>
      <c r="AA37" s="8">
        <f>Table1123[[#This Row],[d (mm)]]/175</f>
        <v>1.6514285714285715</v>
      </c>
      <c r="AB37" s="8">
        <f>Table1123[[#This Row],[a/d]]*Table1123[[#This Row],[d]]</f>
        <v>1040.4000000000001</v>
      </c>
      <c r="AC37" s="8">
        <f>Table1123[[#This Row],[d]]</f>
        <v>289</v>
      </c>
      <c r="AD37" s="15">
        <v>339</v>
      </c>
      <c r="AE37" s="15">
        <v>703</v>
      </c>
      <c r="AF37" s="15">
        <v>42</v>
      </c>
      <c r="AG37" s="8">
        <f>Table1123[[#This Row],[pho (%)]]/100*Table1123[[#This Row],[b (mm)]]*Table1123[[#This Row],[d (mm)]]</f>
        <v>3494.4724000000001</v>
      </c>
      <c r="AH37" s="15">
        <v>1.72</v>
      </c>
      <c r="AI37" s="8">
        <v>465</v>
      </c>
      <c r="AJ37" s="8">
        <f>(1/3-0.21*(MIN(Table1123[[#This Row],[b (mm)]],AD37)/MAX(Table1123[[#This Row],[b (mm)]],AD37))*(MIN(Table1123[[#This Row],[b (mm)]],AD37)^4/(12*MAX(Table1123[[#This Row],[b (mm)]],AD37)^4)))*MAX(Table1123[[#This Row],[b (mm)]],AD37)*MIN(Table1123[[#This Row],[b (mm)]],AD37)^3</f>
        <v>9116712072.5532265</v>
      </c>
      <c r="AK37" s="8">
        <f>Table1123[[#This Row],[b (mm)]]*AD37^3/12</f>
        <v>2282302329.75</v>
      </c>
      <c r="AL37" s="15">
        <v>2080</v>
      </c>
      <c r="AM37" s="1"/>
      <c r="AN37" s="1"/>
    </row>
    <row r="38" spans="1:40" x14ac:dyDescent="0.25">
      <c r="A38" s="60" t="s">
        <v>112</v>
      </c>
      <c r="B38" s="15">
        <v>9</v>
      </c>
      <c r="C38" s="3">
        <v>37</v>
      </c>
      <c r="D38" s="15">
        <v>3.6</v>
      </c>
      <c r="E38" s="15">
        <v>387.5</v>
      </c>
      <c r="F38" s="15">
        <v>289</v>
      </c>
      <c r="G38" s="8">
        <f t="shared" si="16"/>
        <v>403155.00000000006</v>
      </c>
      <c r="H38" s="8">
        <f t="shared" si="17"/>
        <v>6.7071218262324062E-6</v>
      </c>
      <c r="I38" s="8">
        <f>G38/(Table1123[[#This Row],[b (mm)]]*AC38^2)</f>
        <v>6.8662725737939738E-3</v>
      </c>
      <c r="J38" s="8">
        <f t="shared" si="18"/>
        <v>0.85849869639834619</v>
      </c>
      <c r="K38" s="8">
        <f t="shared" si="19"/>
        <v>1.3536419964784558E-6</v>
      </c>
      <c r="L38" s="8">
        <f>E38/(Table1123[[#This Row],[b (mm)]]*AC38)</f>
        <v>1.9072979371649924E-3</v>
      </c>
      <c r="M38" s="8">
        <f>Table1123[[#This Row],[M (KN.mm)]]/(Table1123[[#This Row],[b (mm)]]*Table1123[[#This Row],[d (mm)]])</f>
        <v>1.9843527738264584</v>
      </c>
      <c r="N38" s="8">
        <f>Table1123[[#This Row],[M (KN.mm)]]/(Table1123[[#This Row],[b (mm)]]*Table1123[[#This Row],[h (mm)]])</f>
        <v>1.6916753735570691</v>
      </c>
      <c r="O38" s="8">
        <f>Table1123[[#This Row],[M (KN.mm)]]/(Table1123[[#This Row],[b (mm)]]*Table1123[[#This Row],[h (mm)]]*Table1123[[#This Row],[L(mm)]])</f>
        <v>8.1330546805628325E-4</v>
      </c>
      <c r="P38" s="8">
        <f>Table1123[[#This Row],[M (KN.mm)]]/(Table1123[[#This Row],[b (mm)]]*Table1123[[#This Row],[d (mm)]]*Table1123[[#This Row],[L(mm)]])</f>
        <v>9.5401575664733572E-4</v>
      </c>
      <c r="Q38" s="8">
        <f>Table1123[[#This Row],[M (KN.mm)]]/(Table1123[[#This Row],[b (mm)]]*Table1123[[#This Row],[h (mm)]]*Table1123[[#This Row],[L(mm)]]*Table1123[[#This Row],[fc (Mpa)]])</f>
        <v>1.9364415906101984E-5</v>
      </c>
      <c r="R38" s="8">
        <f>Table1123[[#This Row],[M (KN.mm)]]/(Table1123[[#This Row],[b (mm)]]*Table1123[[#This Row],[h (mm)]]*Table1123[[#This Row],[L(mm)]]/2)</f>
        <v>1.6266109361125665E-3</v>
      </c>
      <c r="S38" s="8">
        <f>Table1123[[#This Row],[M (KN.mm)]]/(Table1123[[#This Row],[a (mm)]]*Table1123[[#This Row],[b (mm)]]*Table1123[[#This Row],[h (mm)]]*Table1123[[#This Row],[L(mm)]]/2)</f>
        <v>1.563447651011694E-6</v>
      </c>
      <c r="T38" s="8">
        <f>G38/($AN$5*AK38*0.001*Table1123[[#This Row],[pho (%)]])</f>
        <v>3.8994894338560502E-6</v>
      </c>
      <c r="U38" s="8">
        <f>Table1123[[#This Row],[M (KN.mm)]]/(Table1123[[#This Row],[b (mm)]]*Table1123[[#This Row],[d (mm)]]*Table1123[[#This Row],[pho (%)]])</f>
        <v>1.1536934731549178</v>
      </c>
      <c r="V38" s="8">
        <f>E38*224.8/(2*SQRT(Table1123[[#This Row],[fc (Mpa)]]*145.037)*Table1123[[#This Row],[b (mm)]]*Table1123[[#This Row],[d (mm)]]*(1/25.4)^2)</f>
        <v>1.7721000356126861</v>
      </c>
      <c r="W38" s="8">
        <f>Table1123[[#This Row],[M (KN.mm)]]/$G$39</f>
        <v>0.91283863368669027</v>
      </c>
      <c r="X38" s="8">
        <f>E38*224.8/(2*SQRT(Table1123[[#This Row],[fc (Mpa)]]*145.037)*Table1123[[#This Row],[b (mm)]]*Table1123[[#This Row],[d (mm)]]*(1/25.4)^2+Table1123[[#This Row],[Av fy d/s (N)]]*0.2248)</f>
        <v>1.2054016338037954</v>
      </c>
      <c r="Y38" s="15">
        <v>0.50600000000000001</v>
      </c>
      <c r="Z38" s="8">
        <f>Table1123[[#This Row],[Av fy/(b S) (Mpa)]]*Table1123[[#This Row],[d (mm)]]*Table1123[[#This Row],[b (mm)]]</f>
        <v>102802.50200000001</v>
      </c>
      <c r="AA38" s="8">
        <f>Table1123[[#This Row],[d (mm)]]/175</f>
        <v>1.6514285714285715</v>
      </c>
      <c r="AB38" s="8">
        <f>Table1123[[#This Row],[a/d]]*Table1123[[#This Row],[d]]</f>
        <v>1040.4000000000001</v>
      </c>
      <c r="AC38" s="8">
        <f>Table1123[[#This Row],[d]]</f>
        <v>289</v>
      </c>
      <c r="AD38" s="15">
        <v>339</v>
      </c>
      <c r="AE38" s="15">
        <v>703</v>
      </c>
      <c r="AF38" s="15">
        <v>42</v>
      </c>
      <c r="AG38" s="8">
        <f>Table1123[[#This Row],[pho (%)]]/100*Table1123[[#This Row],[b (mm)]]*Table1123[[#This Row],[d (mm)]]</f>
        <v>3494.4724000000001</v>
      </c>
      <c r="AH38" s="15">
        <v>1.72</v>
      </c>
      <c r="AI38" s="8">
        <v>465</v>
      </c>
      <c r="AJ38" s="8">
        <f>(1/3-0.21*(MIN(Table1123[[#This Row],[b (mm)]],AD38)/MAX(Table1123[[#This Row],[b (mm)]],AD38))*(MIN(Table1123[[#This Row],[b (mm)]],AD38)^4/(12*MAX(Table1123[[#This Row],[b (mm)]],AD38)^4)))*MAX(Table1123[[#This Row],[b (mm)]],AD38)*MIN(Table1123[[#This Row],[b (mm)]],AD38)^3</f>
        <v>9116712072.5532265</v>
      </c>
      <c r="AK38" s="8">
        <f>Table1123[[#This Row],[b (mm)]]*AD38^3/12</f>
        <v>2282302329.75</v>
      </c>
      <c r="AL38" s="15">
        <v>2080</v>
      </c>
      <c r="AM38" s="1"/>
      <c r="AN38" s="1"/>
    </row>
    <row r="39" spans="1:40" x14ac:dyDescent="0.25">
      <c r="A39" s="60" t="s">
        <v>112</v>
      </c>
      <c r="B39" s="15">
        <v>10</v>
      </c>
      <c r="C39" s="3">
        <v>38</v>
      </c>
      <c r="D39" s="15">
        <v>3.6</v>
      </c>
      <c r="E39" s="15">
        <v>424.5</v>
      </c>
      <c r="F39" s="15">
        <v>289</v>
      </c>
      <c r="G39" s="8">
        <f t="shared" si="16"/>
        <v>441649.80000000005</v>
      </c>
      <c r="H39" s="8">
        <f t="shared" si="17"/>
        <v>7.3475437812533067E-6</v>
      </c>
      <c r="I39" s="8">
        <f>G39/(Table1123[[#This Row],[b (mm)]]*AC39^2)</f>
        <v>7.5218908582594625E-3</v>
      </c>
      <c r="J39" s="8">
        <f t="shared" si="18"/>
        <v>0.94047147515122054</v>
      </c>
      <c r="K39" s="8">
        <f t="shared" si="19"/>
        <v>1.4828929742067213E-6</v>
      </c>
      <c r="L39" s="8">
        <f>E39/(Table1123[[#This Row],[b (mm)]]*AC39)</f>
        <v>2.0894141272942948E-3</v>
      </c>
      <c r="M39" s="8">
        <f>Table1123[[#This Row],[M (KN.mm)]]/(Table1123[[#This Row],[b (mm)]]*Table1123[[#This Row],[d (mm)]])</f>
        <v>2.1738264580369844</v>
      </c>
      <c r="N39" s="8">
        <f>Table1123[[#This Row],[M (KN.mm)]]/(Table1123[[#This Row],[b (mm)]]*Table1123[[#This Row],[h (mm)]])</f>
        <v>1.853203086645099</v>
      </c>
      <c r="O39" s="8">
        <f>Table1123[[#This Row],[M (KN.mm)]]/(Table1123[[#This Row],[b (mm)]]*Table1123[[#This Row],[h (mm)]]*Table1123[[#This Row],[L(mm)]])</f>
        <v>8.9096302242552838E-4</v>
      </c>
      <c r="P39" s="8">
        <f>Table1123[[#This Row],[M (KN.mm)]]/(Table1123[[#This Row],[b (mm)]]*Table1123[[#This Row],[d (mm)]]*Table1123[[#This Row],[L(mm)]])</f>
        <v>1.0451088740562426E-3</v>
      </c>
      <c r="Q39" s="8">
        <f>Table1123[[#This Row],[M (KN.mm)]]/(Table1123[[#This Row],[b (mm)]]*Table1123[[#This Row],[h (mm)]]*Table1123[[#This Row],[L(mm)]]*Table1123[[#This Row],[fc (Mpa)]])</f>
        <v>2.1213405295845914E-5</v>
      </c>
      <c r="R39" s="8">
        <f>Table1123[[#This Row],[M (KN.mm)]]/(Table1123[[#This Row],[b (mm)]]*Table1123[[#This Row],[h (mm)]]*Table1123[[#This Row],[L(mm)]]/2)</f>
        <v>1.7819260448510568E-3</v>
      </c>
      <c r="S39" s="8">
        <f>Table1123[[#This Row],[M (KN.mm)]]/(Table1123[[#This Row],[a (mm)]]*Table1123[[#This Row],[b (mm)]]*Table1123[[#This Row],[h (mm)]]*Table1123[[#This Row],[L(mm)]]/2)</f>
        <v>1.7127316847857138E-6</v>
      </c>
      <c r="T39" s="8">
        <f>G39/($AN$5*AK39*0.001*Table1123[[#This Row],[pho (%)]])</f>
        <v>4.271827779798434E-6</v>
      </c>
      <c r="U39" s="8">
        <f>Table1123[[#This Row],[M (KN.mm)]]/(Table1123[[#This Row],[b (mm)]]*Table1123[[#This Row],[d (mm)]]*Table1123[[#This Row],[pho (%)]])</f>
        <v>1.2638525918819679</v>
      </c>
      <c r="V39" s="8">
        <f>E39*224.8/(2*SQRT(Table1123[[#This Row],[fc (Mpa)]]*145.037)*Table1123[[#This Row],[b (mm)]]*Table1123[[#This Row],[d (mm)]]*(1/25.4)^2)</f>
        <v>1.9413070067550589</v>
      </c>
      <c r="W39" s="8">
        <f>Table1123[[#This Row],[M (KN.mm)]]/$G$39</f>
        <v>1</v>
      </c>
      <c r="X39" s="8">
        <f>E39*224.8/(2*SQRT(Table1123[[#This Row],[fc (Mpa)]]*145.037)*Table1123[[#This Row],[b (mm)]]*Table1123[[#This Row],[d (mm)]]*(1/25.4)^2+Table1123[[#This Row],[Av fy d/s (N)]]*0.2248)</f>
        <v>1.3204980478702222</v>
      </c>
      <c r="Y39" s="15">
        <v>0.50600000000000001</v>
      </c>
      <c r="Z39" s="8">
        <f>Table1123[[#This Row],[Av fy/(b S) (Mpa)]]*Table1123[[#This Row],[d (mm)]]*Table1123[[#This Row],[b (mm)]]</f>
        <v>102802.50200000001</v>
      </c>
      <c r="AA39" s="8">
        <f>Table1123[[#This Row],[d (mm)]]/175</f>
        <v>1.6514285714285715</v>
      </c>
      <c r="AB39" s="8">
        <f>Table1123[[#This Row],[a/d]]*Table1123[[#This Row],[d]]</f>
        <v>1040.4000000000001</v>
      </c>
      <c r="AC39" s="8">
        <f>Table1123[[#This Row],[d]]</f>
        <v>289</v>
      </c>
      <c r="AD39" s="15">
        <v>339</v>
      </c>
      <c r="AE39" s="15">
        <v>703</v>
      </c>
      <c r="AF39" s="15">
        <v>42</v>
      </c>
      <c r="AG39" s="8">
        <f>Table1123[[#This Row],[pho (%)]]/100*Table1123[[#This Row],[b (mm)]]*Table1123[[#This Row],[d (mm)]]</f>
        <v>3494.4724000000001</v>
      </c>
      <c r="AH39" s="15">
        <v>1.72</v>
      </c>
      <c r="AI39" s="8">
        <v>465</v>
      </c>
      <c r="AJ39" s="8">
        <f>(1/3-0.21*(MIN(Table1123[[#This Row],[b (mm)]],AD39)/MAX(Table1123[[#This Row],[b (mm)]],AD39))*(MIN(Table1123[[#This Row],[b (mm)]],AD39)^4/(12*MAX(Table1123[[#This Row],[b (mm)]],AD39)^4)))*MAX(Table1123[[#This Row],[b (mm)]],AD39)*MIN(Table1123[[#This Row],[b (mm)]],AD39)^3</f>
        <v>9116712072.5532265</v>
      </c>
      <c r="AK39" s="8">
        <f>Table1123[[#This Row],[b (mm)]]*AD39^3/12</f>
        <v>2282302329.75</v>
      </c>
      <c r="AL39" s="15">
        <v>2080</v>
      </c>
      <c r="AM39" s="1"/>
      <c r="AN39" s="1"/>
    </row>
    <row r="40" spans="1:40" x14ac:dyDescent="0.25">
      <c r="A40" s="29" t="s">
        <v>113</v>
      </c>
      <c r="B40" s="15">
        <v>1</v>
      </c>
      <c r="C40" s="3">
        <v>39</v>
      </c>
      <c r="D40" s="15">
        <v>3.64</v>
      </c>
      <c r="E40" s="15">
        <v>51</v>
      </c>
      <c r="F40" s="15">
        <v>286</v>
      </c>
      <c r="G40" s="8">
        <f t="shared" ref="G40:G46" si="20">E40*AB40</f>
        <v>53093.04</v>
      </c>
      <c r="H40" s="8">
        <f t="shared" ref="H40:H46" si="21">G40/($AN$5*AK40*0.001)</f>
        <v>9.071581355732856E-7</v>
      </c>
      <c r="I40" s="8">
        <f>G40/(Table1123[[#This Row],[b (mm)]]*AC40^2)</f>
        <v>9.2331566015776544E-4</v>
      </c>
      <c r="J40" s="8">
        <f>G40/(AG40*AI40*AC40*0.001)</f>
        <v>0.11411638365563782</v>
      </c>
      <c r="K40" s="8">
        <f t="shared" ref="K40:K46" si="22">E40/($AN$4*AJ40*0.001)</f>
        <v>1.8296064060243705E-7</v>
      </c>
      <c r="L40" s="8">
        <f>E40/(Table1123[[#This Row],[b (mm)]]*AC40)</f>
        <v>2.536581483949905E-4</v>
      </c>
      <c r="M40" s="8">
        <f>Table1123[[#This Row],[M (KN.mm)]]/(Table1123[[#This Row],[b (mm)]]*Table1123[[#This Row],[d (mm)]])</f>
        <v>0.2640682788051209</v>
      </c>
      <c r="N40" s="8">
        <f>Table1123[[#This Row],[M (KN.mm)]]/(Table1123[[#This Row],[b (mm)]]*Table1123[[#This Row],[h (mm)]])</f>
        <v>0.2247724039829303</v>
      </c>
      <c r="O40" s="8">
        <f>Table1123[[#This Row],[M (KN.mm)]]/(Table1123[[#This Row],[b (mm)]]*Table1123[[#This Row],[h (mm)]]*Table1123[[#This Row],[L(mm)]])</f>
        <v>1.0806365576102419E-4</v>
      </c>
      <c r="P40" s="8">
        <f>Table1123[[#This Row],[M (KN.mm)]]/(Table1123[[#This Row],[b (mm)]]*Table1123[[#This Row],[d (mm)]]*Table1123[[#This Row],[L(mm)]])</f>
        <v>1.2695590327169276E-4</v>
      </c>
      <c r="Q40" s="8">
        <f>Table1123[[#This Row],[M (KN.mm)]]/(Table1123[[#This Row],[b (mm)]]*Table1123[[#This Row],[h (mm)]]*Table1123[[#This Row],[L(mm)]]*Table1123[[#This Row],[fc (Mpa)]])</f>
        <v>2.5729441847862902E-6</v>
      </c>
      <c r="R40" s="8">
        <f>Table1123[[#This Row],[M (KN.mm)]]/(Table1123[[#This Row],[b (mm)]]*Table1123[[#This Row],[h (mm)]]*Table1123[[#This Row],[L(mm)]]/2)</f>
        <v>2.1612731152204838E-4</v>
      </c>
      <c r="S40" s="8">
        <f>Table1123[[#This Row],[M (KN.mm)]]/(Table1123[[#This Row],[a (mm)]]*Table1123[[#This Row],[b (mm)]]*Table1123[[#This Row],[h (mm)]]*Table1123[[#This Row],[L(mm)]]/2)</f>
        <v>2.0760711550185236E-7</v>
      </c>
      <c r="T40" s="8">
        <f>G40/($AN$5*AK40*0.001*Table1123[[#This Row],[pho (%)]])</f>
        <v>5.2135525032947451E-7</v>
      </c>
      <c r="U40" s="8">
        <f>Table1123[[#This Row],[M (KN.mm)]]/(Table1123[[#This Row],[b (mm)]]*Table1123[[#This Row],[d (mm)]]*Table1123[[#This Row],[pho (%)]])</f>
        <v>0.15176337862363271</v>
      </c>
      <c r="V40" s="8">
        <f>E40*224.8/(2*SQRT(Table1123[[#This Row],[fc (Mpa)]]*145.037)*Table1123[[#This Row],[b (mm)]]*Table1123[[#This Row],[d (mm)]]*(1/25.4)^2)</f>
        <v>0.23567771193228415</v>
      </c>
      <c r="W40" s="8">
        <f>Table1123[[#This Row],[M (KN.mm)]]/$G$46</f>
        <v>0.16346153846153846</v>
      </c>
      <c r="X40" s="8">
        <f>E40*224.8/(2*SQRT(Table1123[[#This Row],[fc (Mpa)]]*145.037)*Table1123[[#This Row],[b (mm)]]*Table1123[[#This Row],[d (mm)]]*(1/25.4)^2+Table1123[[#This Row],[Av fy d/s (N)]]*0.2248)</f>
        <v>0.16071682027273967</v>
      </c>
      <c r="Y40" s="15">
        <v>0.502</v>
      </c>
      <c r="Z40" s="8">
        <f>Table1123[[#This Row],[Av fy/(b S) (Mpa)]]*Table1123[[#This Row],[d (mm)]]*Table1123[[#This Row],[b (mm)]]</f>
        <v>100931.11600000001</v>
      </c>
      <c r="AA40" s="8">
        <f>Table1123[[#This Row],[d (mm)]]/175</f>
        <v>1.6342857142857143</v>
      </c>
      <c r="AB40" s="8">
        <f>Table1123[[#This Row],[a/d]]*Table1123[[#This Row],[d]]</f>
        <v>1041.04</v>
      </c>
      <c r="AC40" s="8">
        <f>Table1123[[#This Row],[d]]</f>
        <v>286</v>
      </c>
      <c r="AD40" s="15">
        <v>336</v>
      </c>
      <c r="AE40" s="15">
        <v>703</v>
      </c>
      <c r="AF40" s="15">
        <v>42</v>
      </c>
      <c r="AG40" s="8">
        <f>Table1123[[#This Row],[pho (%)]]/100*Table1123[[#This Row],[b (mm)]]*Table1123[[#This Row],[d (mm)]]</f>
        <v>3498.4091999999996</v>
      </c>
      <c r="AH40" s="15">
        <v>1.74</v>
      </c>
      <c r="AI40" s="8">
        <v>465</v>
      </c>
      <c r="AJ40" s="8">
        <f>(1/3-0.21*(MIN(Table1123[[#This Row],[b (mm)]],AD40)/MAX(Table1123[[#This Row],[b (mm)]],AD40))*(MIN(Table1123[[#This Row],[b (mm)]],AD40)^4/(12*MAX(Table1123[[#This Row],[b (mm)]],AD40)^4)))*MAX(Table1123[[#This Row],[b (mm)]],AD40)*MIN(Table1123[[#This Row],[b (mm)]],AD40)^3</f>
        <v>8877340045.9684258</v>
      </c>
      <c r="AK40" s="8">
        <f>Table1123[[#This Row],[b (mm)]]*AD40^3/12</f>
        <v>2222244864</v>
      </c>
      <c r="AL40" s="15">
        <v>2080</v>
      </c>
      <c r="AM40" s="1"/>
      <c r="AN40" s="1"/>
    </row>
    <row r="41" spans="1:40" x14ac:dyDescent="0.25">
      <c r="A41" s="29" t="s">
        <v>113</v>
      </c>
      <c r="B41" s="15">
        <v>2</v>
      </c>
      <c r="C41" s="3">
        <v>40</v>
      </c>
      <c r="D41" s="15">
        <v>3.64</v>
      </c>
      <c r="E41" s="15">
        <v>102.5</v>
      </c>
      <c r="F41" s="15">
        <v>286</v>
      </c>
      <c r="G41" s="8">
        <f t="shared" si="20"/>
        <v>106706.59999999999</v>
      </c>
      <c r="H41" s="8">
        <f t="shared" si="21"/>
        <v>1.8232099783580738E-6</v>
      </c>
      <c r="I41" s="8">
        <f>G41/(Table1123[[#This Row],[b (mm)]]*AC41^2)</f>
        <v>1.8556834346308028E-3</v>
      </c>
      <c r="J41" s="8">
        <f t="shared" ref="J41:J46" si="23">G41/(AG41*AI41*AC41*0.001)</f>
        <v>0.2293515553863309</v>
      </c>
      <c r="K41" s="8">
        <f t="shared" si="22"/>
        <v>3.6771501297548621E-7</v>
      </c>
      <c r="L41" s="8">
        <f>E41/(Table1123[[#This Row],[b (mm)]]*AC41)</f>
        <v>5.0980314138208873E-4</v>
      </c>
      <c r="M41" s="8">
        <f>Table1123[[#This Row],[M (KN.mm)]]/(Table1123[[#This Row],[b (mm)]]*Table1123[[#This Row],[d (mm)]])</f>
        <v>0.53072546230440965</v>
      </c>
      <c r="N41" s="8">
        <f>Table1123[[#This Row],[M (KN.mm)]]/(Table1123[[#This Row],[b (mm)]]*Table1123[[#This Row],[h (mm)]])</f>
        <v>0.45174845898530103</v>
      </c>
      <c r="O41" s="8">
        <f>Table1123[[#This Row],[M (KN.mm)]]/(Table1123[[#This Row],[b (mm)]]*Table1123[[#This Row],[h (mm)]]*Table1123[[#This Row],[L(mm)]])</f>
        <v>2.1718675912754857E-4</v>
      </c>
      <c r="P41" s="8">
        <f>Table1123[[#This Row],[M (KN.mm)]]/(Table1123[[#This Row],[b (mm)]]*Table1123[[#This Row],[d (mm)]]*Table1123[[#This Row],[L(mm)]])</f>
        <v>2.551564722617354E-4</v>
      </c>
      <c r="Q41" s="8">
        <f>Table1123[[#This Row],[M (KN.mm)]]/(Table1123[[#This Row],[b (mm)]]*Table1123[[#This Row],[h (mm)]]*Table1123[[#This Row],[L(mm)]]*Table1123[[#This Row],[fc (Mpa)]])</f>
        <v>5.1711133125606803E-6</v>
      </c>
      <c r="R41" s="8">
        <f>Table1123[[#This Row],[M (KN.mm)]]/(Table1123[[#This Row],[b (mm)]]*Table1123[[#This Row],[h (mm)]]*Table1123[[#This Row],[L(mm)]]/2)</f>
        <v>4.3437351825509715E-4</v>
      </c>
      <c r="S41" s="8">
        <f>Table1123[[#This Row],[M (KN.mm)]]/(Table1123[[#This Row],[a (mm)]]*Table1123[[#This Row],[b (mm)]]*Table1123[[#This Row],[h (mm)]]*Table1123[[#This Row],[L(mm)]]/2)</f>
        <v>4.1724959488117379E-7</v>
      </c>
      <c r="T41" s="8">
        <f>G41/($AN$5*AK41*0.001*Table1123[[#This Row],[pho (%)]])</f>
        <v>1.0478218266425712E-6</v>
      </c>
      <c r="U41" s="8">
        <f>Table1123[[#This Row],[M (KN.mm)]]/(Table1123[[#This Row],[b (mm)]]*Table1123[[#This Row],[d (mm)]]*Table1123[[#This Row],[pho (%)]])</f>
        <v>0.3050146335082814</v>
      </c>
      <c r="V41" s="8">
        <f>E41*224.8/(2*SQRT(Table1123[[#This Row],[fc (Mpa)]]*145.037)*Table1123[[#This Row],[b (mm)]]*Table1123[[#This Row],[d (mm)]]*(1/25.4)^2)</f>
        <v>0.47366598966782592</v>
      </c>
      <c r="W41" s="8">
        <f>Table1123[[#This Row],[M (KN.mm)]]/$G$46</f>
        <v>0.32852564102564102</v>
      </c>
      <c r="X41" s="8">
        <f>E41*224.8/(2*SQRT(Table1123[[#This Row],[fc (Mpa)]]*145.037)*Table1123[[#This Row],[b (mm)]]*Table1123[[#This Row],[d (mm)]]*(1/25.4)^2+Table1123[[#This Row],[Av fy d/s (N)]]*0.2248)</f>
        <v>0.32300929564619246</v>
      </c>
      <c r="Y41" s="15">
        <v>0.502</v>
      </c>
      <c r="Z41" s="8">
        <f>Table1123[[#This Row],[Av fy/(b S) (Mpa)]]*Table1123[[#This Row],[d (mm)]]*Table1123[[#This Row],[b (mm)]]</f>
        <v>100931.11600000001</v>
      </c>
      <c r="AA41" s="8">
        <f>Table1123[[#This Row],[d (mm)]]/175</f>
        <v>1.6342857142857143</v>
      </c>
      <c r="AB41" s="8">
        <f>Table1123[[#This Row],[a/d]]*Table1123[[#This Row],[d]]</f>
        <v>1041.04</v>
      </c>
      <c r="AC41" s="8">
        <f>Table1123[[#This Row],[d]]</f>
        <v>286</v>
      </c>
      <c r="AD41" s="15">
        <v>336</v>
      </c>
      <c r="AE41" s="15">
        <v>703</v>
      </c>
      <c r="AF41" s="15">
        <v>42</v>
      </c>
      <c r="AG41" s="8">
        <f>Table1123[[#This Row],[pho (%)]]/100*Table1123[[#This Row],[b (mm)]]*Table1123[[#This Row],[d (mm)]]</f>
        <v>3498.4091999999996</v>
      </c>
      <c r="AH41" s="15">
        <v>1.74</v>
      </c>
      <c r="AI41" s="8">
        <v>465</v>
      </c>
      <c r="AJ41" s="8">
        <f>(1/3-0.21*(MIN(Table1123[[#This Row],[b (mm)]],AD41)/MAX(Table1123[[#This Row],[b (mm)]],AD41))*(MIN(Table1123[[#This Row],[b (mm)]],AD41)^4/(12*MAX(Table1123[[#This Row],[b (mm)]],AD41)^4)))*MAX(Table1123[[#This Row],[b (mm)]],AD41)*MIN(Table1123[[#This Row],[b (mm)]],AD41)^3</f>
        <v>8877340045.9684258</v>
      </c>
      <c r="AK41" s="8">
        <f>Table1123[[#This Row],[b (mm)]]*AD41^3/12</f>
        <v>2222244864</v>
      </c>
      <c r="AL41" s="15">
        <v>2080</v>
      </c>
      <c r="AM41" s="1"/>
      <c r="AN41" s="1"/>
    </row>
    <row r="42" spans="1:40" x14ac:dyDescent="0.25">
      <c r="A42" s="29" t="s">
        <v>113</v>
      </c>
      <c r="B42" s="15">
        <v>3</v>
      </c>
      <c r="C42" s="3">
        <v>41</v>
      </c>
      <c r="D42" s="15">
        <v>3.64</v>
      </c>
      <c r="E42" s="15">
        <v>150</v>
      </c>
      <c r="F42" s="15">
        <v>286</v>
      </c>
      <c r="G42" s="8">
        <f t="shared" si="20"/>
        <v>156156</v>
      </c>
      <c r="H42" s="8">
        <f t="shared" si="21"/>
        <v>2.6681121634508402E-6</v>
      </c>
      <c r="I42" s="8">
        <f>G42/(Table1123[[#This Row],[b (mm)]]*AC42^2)</f>
        <v>2.7156342945816631E-3</v>
      </c>
      <c r="J42" s="8">
        <f t="shared" si="23"/>
        <v>0.33563642251658182</v>
      </c>
      <c r="K42" s="8">
        <f t="shared" si="22"/>
        <v>5.3811953118363833E-7</v>
      </c>
      <c r="L42" s="8">
        <f>E42/(Table1123[[#This Row],[b (mm)]]*AC42)</f>
        <v>7.4605337763232504E-4</v>
      </c>
      <c r="M42" s="8">
        <f>Table1123[[#This Row],[M (KN.mm)]]/(Table1123[[#This Row],[b (mm)]]*Table1123[[#This Row],[d (mm)]])</f>
        <v>0.77667140825035563</v>
      </c>
      <c r="N42" s="8">
        <f>Table1123[[#This Row],[M (KN.mm)]]/(Table1123[[#This Row],[b (mm)]]*Table1123[[#This Row],[h (mm)]])</f>
        <v>0.66109530583214793</v>
      </c>
      <c r="O42" s="8">
        <f>Table1123[[#This Row],[M (KN.mm)]]/(Table1123[[#This Row],[b (mm)]]*Table1123[[#This Row],[h (mm)]]*Table1123[[#This Row],[L(mm)]])</f>
        <v>3.1783428165007112E-4</v>
      </c>
      <c r="P42" s="8">
        <f>Table1123[[#This Row],[M (KN.mm)]]/(Table1123[[#This Row],[b (mm)]]*Table1123[[#This Row],[d (mm)]]*Table1123[[#This Row],[L(mm)]])</f>
        <v>3.7339971550497868E-4</v>
      </c>
      <c r="Q42" s="8">
        <f>Table1123[[#This Row],[M (KN.mm)]]/(Table1123[[#This Row],[b (mm)]]*Table1123[[#This Row],[h (mm)]]*Table1123[[#This Row],[L(mm)]]*Table1123[[#This Row],[fc (Mpa)]])</f>
        <v>7.5674828964302645E-6</v>
      </c>
      <c r="R42" s="8">
        <f>Table1123[[#This Row],[M (KN.mm)]]/(Table1123[[#This Row],[b (mm)]]*Table1123[[#This Row],[h (mm)]]*Table1123[[#This Row],[L(mm)]]/2)</f>
        <v>6.3566856330014225E-4</v>
      </c>
      <c r="S42" s="8">
        <f>Table1123[[#This Row],[M (KN.mm)]]/(Table1123[[#This Row],[a (mm)]]*Table1123[[#This Row],[b (mm)]]*Table1123[[#This Row],[h (mm)]]*Table1123[[#This Row],[L(mm)]]/2)</f>
        <v>6.1060916324074224E-7</v>
      </c>
      <c r="T42" s="8">
        <f>G42/($AN$5*AK42*0.001*Table1123[[#This Row],[pho (%)]])</f>
        <v>1.5333977950866895E-6</v>
      </c>
      <c r="U42" s="8">
        <f>Table1123[[#This Row],[M (KN.mm)]]/(Table1123[[#This Row],[b (mm)]]*Table1123[[#This Row],[d (mm)]]*Table1123[[#This Row],[pho (%)]])</f>
        <v>0.44636287830480209</v>
      </c>
      <c r="V42" s="8">
        <f>E42*224.8/(2*SQRT(Table1123[[#This Row],[fc (Mpa)]]*145.037)*Table1123[[#This Row],[b (mm)]]*Table1123[[#This Row],[d (mm)]]*(1/25.4)^2)</f>
        <v>0.69316974097730621</v>
      </c>
      <c r="W42" s="8">
        <f>Table1123[[#This Row],[M (KN.mm)]]/$G$46</f>
        <v>0.48076923076923078</v>
      </c>
      <c r="X42" s="8">
        <f>E42*224.8/(2*SQRT(Table1123[[#This Row],[fc (Mpa)]]*145.037)*Table1123[[#This Row],[b (mm)]]*Table1123[[#This Row],[d (mm)]]*(1/25.4)^2+Table1123[[#This Row],[Av fy d/s (N)]]*0.2248)</f>
        <v>0.47269653021394015</v>
      </c>
      <c r="Y42" s="15">
        <v>0.502</v>
      </c>
      <c r="Z42" s="8">
        <f>Table1123[[#This Row],[Av fy/(b S) (Mpa)]]*Table1123[[#This Row],[d (mm)]]*Table1123[[#This Row],[b (mm)]]</f>
        <v>100931.11600000001</v>
      </c>
      <c r="AA42" s="8">
        <f>Table1123[[#This Row],[d (mm)]]/175</f>
        <v>1.6342857142857143</v>
      </c>
      <c r="AB42" s="8">
        <f>Table1123[[#This Row],[a/d]]*Table1123[[#This Row],[d]]</f>
        <v>1041.04</v>
      </c>
      <c r="AC42" s="8">
        <f>Table1123[[#This Row],[d]]</f>
        <v>286</v>
      </c>
      <c r="AD42" s="15">
        <v>336</v>
      </c>
      <c r="AE42" s="15">
        <v>703</v>
      </c>
      <c r="AF42" s="15">
        <v>42</v>
      </c>
      <c r="AG42" s="8">
        <f>Table1123[[#This Row],[pho (%)]]/100*Table1123[[#This Row],[b (mm)]]*Table1123[[#This Row],[d (mm)]]</f>
        <v>3498.4091999999996</v>
      </c>
      <c r="AH42" s="15">
        <v>1.74</v>
      </c>
      <c r="AI42" s="8">
        <v>465</v>
      </c>
      <c r="AJ42" s="8">
        <f>(1/3-0.21*(MIN(Table1123[[#This Row],[b (mm)]],AD42)/MAX(Table1123[[#This Row],[b (mm)]],AD42))*(MIN(Table1123[[#This Row],[b (mm)]],AD42)^4/(12*MAX(Table1123[[#This Row],[b (mm)]],AD42)^4)))*MAX(Table1123[[#This Row],[b (mm)]],AD42)*MIN(Table1123[[#This Row],[b (mm)]],AD42)^3</f>
        <v>8877340045.9684258</v>
      </c>
      <c r="AK42" s="8">
        <f>Table1123[[#This Row],[b (mm)]]*AD42^3/12</f>
        <v>2222244864</v>
      </c>
      <c r="AL42" s="15">
        <v>2080</v>
      </c>
      <c r="AM42" s="1"/>
      <c r="AN42" s="1"/>
    </row>
    <row r="43" spans="1:40" x14ac:dyDescent="0.25">
      <c r="A43" s="29" t="s">
        <v>113</v>
      </c>
      <c r="B43" s="15">
        <v>4</v>
      </c>
      <c r="C43" s="3">
        <v>42</v>
      </c>
      <c r="D43" s="15">
        <v>3.64</v>
      </c>
      <c r="E43" s="15">
        <v>199.5</v>
      </c>
      <c r="F43" s="15">
        <v>286</v>
      </c>
      <c r="G43" s="8">
        <f t="shared" si="20"/>
        <v>207687.47999999998</v>
      </c>
      <c r="H43" s="8">
        <f t="shared" si="21"/>
        <v>3.5485891773896168E-6</v>
      </c>
      <c r="I43" s="8">
        <f>G43/(Table1123[[#This Row],[b (mm)]]*AC43^2)</f>
        <v>3.6117936117936113E-3</v>
      </c>
      <c r="J43" s="8">
        <f t="shared" si="23"/>
        <v>0.44639644194705375</v>
      </c>
      <c r="K43" s="8">
        <f t="shared" si="22"/>
        <v>7.15698976474239E-7</v>
      </c>
      <c r="L43" s="8">
        <f>E43/(Table1123[[#This Row],[b (mm)]]*AC43)</f>
        <v>9.9225099225099217E-4</v>
      </c>
      <c r="M43" s="8">
        <f>Table1123[[#This Row],[M (KN.mm)]]/(Table1123[[#This Row],[b (mm)]]*Table1123[[#This Row],[d (mm)]])</f>
        <v>1.0329729729729729</v>
      </c>
      <c r="N43" s="8">
        <f>Table1123[[#This Row],[M (KN.mm)]]/(Table1123[[#This Row],[b (mm)]]*Table1123[[#This Row],[h (mm)]])</f>
        <v>0.87925675675675663</v>
      </c>
      <c r="O43" s="8">
        <f>Table1123[[#This Row],[M (KN.mm)]]/(Table1123[[#This Row],[b (mm)]]*Table1123[[#This Row],[h (mm)]]*Table1123[[#This Row],[L(mm)]])</f>
        <v>4.2271959459459454E-4</v>
      </c>
      <c r="P43" s="8">
        <f>Table1123[[#This Row],[M (KN.mm)]]/(Table1123[[#This Row],[b (mm)]]*Table1123[[#This Row],[d (mm)]]*Table1123[[#This Row],[L(mm)]])</f>
        <v>4.9662162162162162E-4</v>
      </c>
      <c r="Q43" s="8">
        <f>Table1123[[#This Row],[M (KN.mm)]]/(Table1123[[#This Row],[b (mm)]]*Table1123[[#This Row],[h (mm)]]*Table1123[[#This Row],[L(mm)]]*Table1123[[#This Row],[fc (Mpa)]])</f>
        <v>1.0064752252252252E-5</v>
      </c>
      <c r="R43" s="8">
        <f>Table1123[[#This Row],[M (KN.mm)]]/(Table1123[[#This Row],[b (mm)]]*Table1123[[#This Row],[h (mm)]]*Table1123[[#This Row],[L(mm)]]/2)</f>
        <v>8.4543918918918908E-4</v>
      </c>
      <c r="S43" s="8">
        <f>Table1123[[#This Row],[M (KN.mm)]]/(Table1123[[#This Row],[a (mm)]]*Table1123[[#This Row],[b (mm)]]*Table1123[[#This Row],[h (mm)]]*Table1123[[#This Row],[L(mm)]]/2)</f>
        <v>8.1211018711018705E-7</v>
      </c>
      <c r="T43" s="8">
        <f>G43/($AN$5*AK43*0.001*Table1123[[#This Row],[pho (%)]])</f>
        <v>2.0394190674652969E-6</v>
      </c>
      <c r="U43" s="8">
        <f>Table1123[[#This Row],[M (KN.mm)]]/(Table1123[[#This Row],[b (mm)]]*Table1123[[#This Row],[d (mm)]]*Table1123[[#This Row],[pho (%)]])</f>
        <v>0.59366262814538673</v>
      </c>
      <c r="V43" s="8">
        <f>E43*224.8/(2*SQRT(Table1123[[#This Row],[fc (Mpa)]]*145.037)*Table1123[[#This Row],[b (mm)]]*Table1123[[#This Row],[d (mm)]]*(1/25.4)^2)</f>
        <v>0.92191575549981741</v>
      </c>
      <c r="W43" s="8">
        <f>Table1123[[#This Row],[M (KN.mm)]]/$G$46</f>
        <v>0.63942307692307687</v>
      </c>
      <c r="X43" s="8">
        <f>E43*224.8/(2*SQRT(Table1123[[#This Row],[fc (Mpa)]]*145.037)*Table1123[[#This Row],[b (mm)]]*Table1123[[#This Row],[d (mm)]]*(1/25.4)^2+Table1123[[#This Row],[Av fy d/s (N)]]*0.2248)</f>
        <v>0.62868638518454045</v>
      </c>
      <c r="Y43" s="15">
        <v>0.502</v>
      </c>
      <c r="Z43" s="8">
        <f>Table1123[[#This Row],[Av fy/(b S) (Mpa)]]*Table1123[[#This Row],[d (mm)]]*Table1123[[#This Row],[b (mm)]]</f>
        <v>100931.11600000001</v>
      </c>
      <c r="AA43" s="8">
        <f>Table1123[[#This Row],[d (mm)]]/175</f>
        <v>1.6342857142857143</v>
      </c>
      <c r="AB43" s="8">
        <f>Table1123[[#This Row],[a/d]]*Table1123[[#This Row],[d]]</f>
        <v>1041.04</v>
      </c>
      <c r="AC43" s="8">
        <f>Table1123[[#This Row],[d]]</f>
        <v>286</v>
      </c>
      <c r="AD43" s="15">
        <v>336</v>
      </c>
      <c r="AE43" s="15">
        <v>703</v>
      </c>
      <c r="AF43" s="15">
        <v>42</v>
      </c>
      <c r="AG43" s="8">
        <f>Table1123[[#This Row],[pho (%)]]/100*Table1123[[#This Row],[b (mm)]]*Table1123[[#This Row],[d (mm)]]</f>
        <v>3498.4091999999996</v>
      </c>
      <c r="AH43" s="15">
        <v>1.74</v>
      </c>
      <c r="AI43" s="8">
        <v>465</v>
      </c>
      <c r="AJ43" s="8">
        <f>(1/3-0.21*(MIN(Table1123[[#This Row],[b (mm)]],AD43)/MAX(Table1123[[#This Row],[b (mm)]],AD43))*(MIN(Table1123[[#This Row],[b (mm)]],AD43)^4/(12*MAX(Table1123[[#This Row],[b (mm)]],AD43)^4)))*MAX(Table1123[[#This Row],[b (mm)]],AD43)*MIN(Table1123[[#This Row],[b (mm)]],AD43)^3</f>
        <v>8877340045.9684258</v>
      </c>
      <c r="AK43" s="8">
        <f>Table1123[[#This Row],[b (mm)]]*AD43^3/12</f>
        <v>2222244864</v>
      </c>
      <c r="AL43" s="15">
        <v>2080</v>
      </c>
      <c r="AM43" s="1"/>
      <c r="AN43" s="1"/>
    </row>
    <row r="44" spans="1:40" x14ac:dyDescent="0.25">
      <c r="A44" s="29" t="s">
        <v>113</v>
      </c>
      <c r="B44" s="15">
        <v>5</v>
      </c>
      <c r="C44" s="3">
        <v>43</v>
      </c>
      <c r="D44" s="15">
        <v>3.64</v>
      </c>
      <c r="E44" s="15">
        <v>249.5</v>
      </c>
      <c r="F44" s="15">
        <v>286</v>
      </c>
      <c r="G44" s="8">
        <f t="shared" si="20"/>
        <v>259739.47999999998</v>
      </c>
      <c r="H44" s="8">
        <f t="shared" si="21"/>
        <v>4.4379598985398968E-6</v>
      </c>
      <c r="I44" s="8">
        <f>G44/(Table1123[[#This Row],[b (mm)]]*AC44^2)</f>
        <v>4.5170050433208323E-3</v>
      </c>
      <c r="J44" s="8">
        <f t="shared" si="23"/>
        <v>0.558275249452581</v>
      </c>
      <c r="K44" s="8">
        <f t="shared" si="22"/>
        <v>8.9507215353545178E-7</v>
      </c>
      <c r="L44" s="8">
        <f>E44/(Table1123[[#This Row],[b (mm)]]*AC44)</f>
        <v>1.2409354514617671E-3</v>
      </c>
      <c r="M44" s="8">
        <f>Table1123[[#This Row],[M (KN.mm)]]/(Table1123[[#This Row],[b (mm)]]*Table1123[[#This Row],[d (mm)]])</f>
        <v>1.2918634423897581</v>
      </c>
      <c r="N44" s="8">
        <f>Table1123[[#This Row],[M (KN.mm)]]/(Table1123[[#This Row],[b (mm)]]*Table1123[[#This Row],[h (mm)]])</f>
        <v>1.099621858700806</v>
      </c>
      <c r="O44" s="8">
        <f>Table1123[[#This Row],[M (KN.mm)]]/(Table1123[[#This Row],[b (mm)]]*Table1123[[#This Row],[h (mm)]]*Table1123[[#This Row],[L(mm)]])</f>
        <v>5.2866435514461823E-4</v>
      </c>
      <c r="P44" s="8">
        <f>Table1123[[#This Row],[M (KN.mm)]]/(Table1123[[#This Row],[b (mm)]]*Table1123[[#This Row],[d (mm)]]*Table1123[[#This Row],[L(mm)]])</f>
        <v>6.2108819345661444E-4</v>
      </c>
      <c r="Q44" s="8">
        <f>Table1123[[#This Row],[M (KN.mm)]]/(Table1123[[#This Row],[b (mm)]]*Table1123[[#This Row],[h (mm)]]*Table1123[[#This Row],[L(mm)]]*Table1123[[#This Row],[fc (Mpa)]])</f>
        <v>1.258724655106234E-5</v>
      </c>
      <c r="R44" s="8">
        <f>Table1123[[#This Row],[M (KN.mm)]]/(Table1123[[#This Row],[b (mm)]]*Table1123[[#This Row],[h (mm)]]*Table1123[[#This Row],[L(mm)]]/2)</f>
        <v>1.0573287102892365E-3</v>
      </c>
      <c r="S44" s="8">
        <f>Table1123[[#This Row],[M (KN.mm)]]/(Table1123[[#This Row],[a (mm)]]*Table1123[[#This Row],[b (mm)]]*Table1123[[#This Row],[h (mm)]]*Table1123[[#This Row],[L(mm)]]/2)</f>
        <v>1.0156465748571012E-6</v>
      </c>
      <c r="T44" s="8">
        <f>G44/($AN$5*AK44*0.001*Table1123[[#This Row],[pho (%)]])</f>
        <v>2.5505516658275267E-6</v>
      </c>
      <c r="U44" s="8">
        <f>Table1123[[#This Row],[M (KN.mm)]]/(Table1123[[#This Row],[b (mm)]]*Table1123[[#This Row],[d (mm)]]*Table1123[[#This Row],[pho (%)]])</f>
        <v>0.74245025424698741</v>
      </c>
      <c r="V44" s="8">
        <f>E44*224.8/(2*SQRT(Table1123[[#This Row],[fc (Mpa)]]*145.037)*Table1123[[#This Row],[b (mm)]]*Table1123[[#This Row],[d (mm)]]*(1/25.4)^2)</f>
        <v>1.1529723358255861</v>
      </c>
      <c r="W44" s="8">
        <f>Table1123[[#This Row],[M (KN.mm)]]/$G$46</f>
        <v>0.79967948717948711</v>
      </c>
      <c r="X44" s="8">
        <f>E44*224.8/(2*SQRT(Table1123[[#This Row],[fc (Mpa)]]*145.037)*Table1123[[#This Row],[b (mm)]]*Table1123[[#This Row],[d (mm)]]*(1/25.4)^2+Table1123[[#This Row],[Av fy d/s (N)]]*0.2248)</f>
        <v>0.78625189525585393</v>
      </c>
      <c r="Y44" s="15">
        <v>0.502</v>
      </c>
      <c r="Z44" s="8">
        <f>Table1123[[#This Row],[Av fy/(b S) (Mpa)]]*Table1123[[#This Row],[d (mm)]]*Table1123[[#This Row],[b (mm)]]</f>
        <v>100931.11600000001</v>
      </c>
      <c r="AA44" s="8">
        <f>Table1123[[#This Row],[d (mm)]]/175</f>
        <v>1.6342857142857143</v>
      </c>
      <c r="AB44" s="8">
        <f>Table1123[[#This Row],[a/d]]*Table1123[[#This Row],[d]]</f>
        <v>1041.04</v>
      </c>
      <c r="AC44" s="8">
        <f>Table1123[[#This Row],[d]]</f>
        <v>286</v>
      </c>
      <c r="AD44" s="15">
        <v>336</v>
      </c>
      <c r="AE44" s="15">
        <v>703</v>
      </c>
      <c r="AF44" s="15">
        <v>42</v>
      </c>
      <c r="AG44" s="8">
        <f>Table1123[[#This Row],[pho (%)]]/100*Table1123[[#This Row],[b (mm)]]*Table1123[[#This Row],[d (mm)]]</f>
        <v>3498.4091999999996</v>
      </c>
      <c r="AH44" s="15">
        <v>1.74</v>
      </c>
      <c r="AI44" s="8">
        <v>465</v>
      </c>
      <c r="AJ44" s="8">
        <f>(1/3-0.21*(MIN(Table1123[[#This Row],[b (mm)]],AD44)/MAX(Table1123[[#This Row],[b (mm)]],AD44))*(MIN(Table1123[[#This Row],[b (mm)]],AD44)^4/(12*MAX(Table1123[[#This Row],[b (mm)]],AD44)^4)))*MAX(Table1123[[#This Row],[b (mm)]],AD44)*MIN(Table1123[[#This Row],[b (mm)]],AD44)^3</f>
        <v>8877340045.9684258</v>
      </c>
      <c r="AK44" s="8">
        <f>Table1123[[#This Row],[b (mm)]]*AD44^3/12</f>
        <v>2222244864</v>
      </c>
      <c r="AL44" s="15">
        <v>2080</v>
      </c>
      <c r="AM44" s="1"/>
      <c r="AN44" s="1"/>
    </row>
    <row r="45" spans="1:40" x14ac:dyDescent="0.25">
      <c r="A45" s="29" t="s">
        <v>113</v>
      </c>
      <c r="B45" s="15">
        <v>6</v>
      </c>
      <c r="C45" s="3">
        <v>44</v>
      </c>
      <c r="D45" s="15">
        <v>3.64</v>
      </c>
      <c r="E45" s="15">
        <v>275.5</v>
      </c>
      <c r="F45" s="15">
        <v>286</v>
      </c>
      <c r="G45" s="8">
        <f t="shared" si="20"/>
        <v>286806.52</v>
      </c>
      <c r="H45" s="8">
        <f t="shared" si="21"/>
        <v>4.9004326735380429E-6</v>
      </c>
      <c r="I45" s="8">
        <f>G45/(Table1123[[#This Row],[b (mm)]]*AC45^2)</f>
        <v>4.9877149877149878E-3</v>
      </c>
      <c r="J45" s="8">
        <f t="shared" si="23"/>
        <v>0.61645222935545529</v>
      </c>
      <c r="K45" s="8">
        <f t="shared" si="22"/>
        <v>9.8834620560728253E-7</v>
      </c>
      <c r="L45" s="8">
        <f>E45/(Table1123[[#This Row],[b (mm)]]*AC45)</f>
        <v>1.3702513702513702E-3</v>
      </c>
      <c r="M45" s="8">
        <f>Table1123[[#This Row],[M (KN.mm)]]/(Table1123[[#This Row],[b (mm)]]*Table1123[[#This Row],[d (mm)]])</f>
        <v>1.4264864864864866</v>
      </c>
      <c r="N45" s="8">
        <f>Table1123[[#This Row],[M (KN.mm)]]/(Table1123[[#This Row],[b (mm)]]*Table1123[[#This Row],[h (mm)]])</f>
        <v>1.2142117117117117</v>
      </c>
      <c r="O45" s="8">
        <f>Table1123[[#This Row],[M (KN.mm)]]/(Table1123[[#This Row],[b (mm)]]*Table1123[[#This Row],[h (mm)]]*Table1123[[#This Row],[L(mm)]])</f>
        <v>5.8375563063063065E-4</v>
      </c>
      <c r="P45" s="8">
        <f>Table1123[[#This Row],[M (KN.mm)]]/(Table1123[[#This Row],[b (mm)]]*Table1123[[#This Row],[d (mm)]]*Table1123[[#This Row],[L(mm)]])</f>
        <v>6.8581081081081087E-4</v>
      </c>
      <c r="Q45" s="8">
        <f>Table1123[[#This Row],[M (KN.mm)]]/(Table1123[[#This Row],[b (mm)]]*Table1123[[#This Row],[h (mm)]]*Table1123[[#This Row],[L(mm)]]*Table1123[[#This Row],[fc (Mpa)]])</f>
        <v>1.3898943586443587E-5</v>
      </c>
      <c r="R45" s="8">
        <f>Table1123[[#This Row],[M (KN.mm)]]/(Table1123[[#This Row],[b (mm)]]*Table1123[[#This Row],[h (mm)]]*Table1123[[#This Row],[L(mm)]]/2)</f>
        <v>1.1675112612612613E-3</v>
      </c>
      <c r="S45" s="8">
        <f>Table1123[[#This Row],[M (KN.mm)]]/(Table1123[[#This Row],[a (mm)]]*Table1123[[#This Row],[b (mm)]]*Table1123[[#This Row],[h (mm)]]*Table1123[[#This Row],[L(mm)]]/2)</f>
        <v>1.1214854964854965E-6</v>
      </c>
      <c r="T45" s="8">
        <f>G45/($AN$5*AK45*0.001*Table1123[[#This Row],[pho (%)]])</f>
        <v>2.816340616975887E-6</v>
      </c>
      <c r="U45" s="8">
        <f>Table1123[[#This Row],[M (KN.mm)]]/(Table1123[[#This Row],[b (mm)]]*Table1123[[#This Row],[d (mm)]]*Table1123[[#This Row],[pho (%)]])</f>
        <v>0.81981981981981988</v>
      </c>
      <c r="V45" s="8">
        <f>E45*224.8/(2*SQRT(Table1123[[#This Row],[fc (Mpa)]]*145.037)*Table1123[[#This Row],[b (mm)]]*Table1123[[#This Row],[d (mm)]]*(1/25.4)^2)</f>
        <v>1.2731217575949858</v>
      </c>
      <c r="W45" s="8">
        <f>Table1123[[#This Row],[M (KN.mm)]]/$G$46</f>
        <v>0.8830128205128206</v>
      </c>
      <c r="X45" s="8">
        <f>E45*224.8/(2*SQRT(Table1123[[#This Row],[fc (Mpa)]]*145.037)*Table1123[[#This Row],[b (mm)]]*Table1123[[#This Row],[d (mm)]]*(1/25.4)^2+Table1123[[#This Row],[Av fy d/s (N)]]*0.2248)</f>
        <v>0.86818596049293684</v>
      </c>
      <c r="Y45" s="15">
        <v>0.502</v>
      </c>
      <c r="Z45" s="8">
        <f>Table1123[[#This Row],[Av fy/(b S) (Mpa)]]*Table1123[[#This Row],[d (mm)]]*Table1123[[#This Row],[b (mm)]]</f>
        <v>100931.11600000001</v>
      </c>
      <c r="AA45" s="8">
        <f>Table1123[[#This Row],[d (mm)]]/175</f>
        <v>1.6342857142857143</v>
      </c>
      <c r="AB45" s="8">
        <f>Table1123[[#This Row],[a/d]]*Table1123[[#This Row],[d]]</f>
        <v>1041.04</v>
      </c>
      <c r="AC45" s="8">
        <f>Table1123[[#This Row],[d]]</f>
        <v>286</v>
      </c>
      <c r="AD45" s="15">
        <v>336</v>
      </c>
      <c r="AE45" s="15">
        <v>703</v>
      </c>
      <c r="AF45" s="15">
        <v>42</v>
      </c>
      <c r="AG45" s="8">
        <f>Table1123[[#This Row],[pho (%)]]/100*Table1123[[#This Row],[b (mm)]]*Table1123[[#This Row],[d (mm)]]</f>
        <v>3498.4091999999996</v>
      </c>
      <c r="AH45" s="15">
        <v>1.74</v>
      </c>
      <c r="AI45" s="8">
        <v>465</v>
      </c>
      <c r="AJ45" s="8">
        <f>(1/3-0.21*(MIN(Table1123[[#This Row],[b (mm)]],AD45)/MAX(Table1123[[#This Row],[b (mm)]],AD45))*(MIN(Table1123[[#This Row],[b (mm)]],AD45)^4/(12*MAX(Table1123[[#This Row],[b (mm)]],AD45)^4)))*MAX(Table1123[[#This Row],[b (mm)]],AD45)*MIN(Table1123[[#This Row],[b (mm)]],AD45)^3</f>
        <v>8877340045.9684258</v>
      </c>
      <c r="AK45" s="8">
        <f>Table1123[[#This Row],[b (mm)]]*AD45^3/12</f>
        <v>2222244864</v>
      </c>
      <c r="AL45" s="15">
        <v>2080</v>
      </c>
      <c r="AM45" s="1"/>
      <c r="AN45" s="1"/>
    </row>
    <row r="46" spans="1:40" x14ac:dyDescent="0.25">
      <c r="A46" s="29" t="s">
        <v>113</v>
      </c>
      <c r="B46" s="15">
        <v>7</v>
      </c>
      <c r="C46" s="3">
        <v>45</v>
      </c>
      <c r="D46" s="15">
        <v>3.64</v>
      </c>
      <c r="E46" s="15">
        <v>312</v>
      </c>
      <c r="F46" s="15">
        <v>286</v>
      </c>
      <c r="G46" s="8">
        <f t="shared" si="20"/>
        <v>324804.47999999998</v>
      </c>
      <c r="H46" s="8">
        <f t="shared" si="21"/>
        <v>5.5496732999777473E-6</v>
      </c>
      <c r="I46" s="8">
        <f>G46/(Table1123[[#This Row],[b (mm)]]*AC46^2)</f>
        <v>5.6485193327298587E-3</v>
      </c>
      <c r="J46" s="8">
        <f t="shared" si="23"/>
        <v>0.69812375883449018</v>
      </c>
      <c r="K46" s="8">
        <f t="shared" si="22"/>
        <v>1.1192886248619679E-6</v>
      </c>
      <c r="L46" s="8">
        <f>E46/(Table1123[[#This Row],[b (mm)]]*AC46)</f>
        <v>1.5517910254752359E-3</v>
      </c>
      <c r="M46" s="8">
        <f>Table1123[[#This Row],[M (KN.mm)]]/(Table1123[[#This Row],[b (mm)]]*Table1123[[#This Row],[d (mm)]])</f>
        <v>1.6154765291607396</v>
      </c>
      <c r="N46" s="8">
        <f>Table1123[[#This Row],[M (KN.mm)]]/(Table1123[[#This Row],[b (mm)]]*Table1123[[#This Row],[h (mm)]])</f>
        <v>1.3750782361308675</v>
      </c>
      <c r="O46" s="8">
        <f>Table1123[[#This Row],[M (KN.mm)]]/(Table1123[[#This Row],[b (mm)]]*Table1123[[#This Row],[h (mm)]]*Table1123[[#This Row],[L(mm)]])</f>
        <v>6.6109530583214791E-4</v>
      </c>
      <c r="P46" s="8">
        <f>Table1123[[#This Row],[M (KN.mm)]]/(Table1123[[#This Row],[b (mm)]]*Table1123[[#This Row],[d (mm)]]*Table1123[[#This Row],[L(mm)]])</f>
        <v>7.7667140825035555E-4</v>
      </c>
      <c r="Q46" s="8">
        <f>Table1123[[#This Row],[M (KN.mm)]]/(Table1123[[#This Row],[b (mm)]]*Table1123[[#This Row],[h (mm)]]*Table1123[[#This Row],[L(mm)]]*Table1123[[#This Row],[fc (Mpa)]])</f>
        <v>1.5740364424574951E-5</v>
      </c>
      <c r="R46" s="8">
        <f>Table1123[[#This Row],[M (KN.mm)]]/(Table1123[[#This Row],[b (mm)]]*Table1123[[#This Row],[h (mm)]]*Table1123[[#This Row],[L(mm)]]/2)</f>
        <v>1.3221906116642958E-3</v>
      </c>
      <c r="S46" s="8">
        <f>Table1123[[#This Row],[M (KN.mm)]]/(Table1123[[#This Row],[a (mm)]]*Table1123[[#This Row],[b (mm)]]*Table1123[[#This Row],[h (mm)]]*Table1123[[#This Row],[L(mm)]]/2)</f>
        <v>1.2700670595407437E-6</v>
      </c>
      <c r="T46" s="8">
        <f>G46/($AN$5*AK46*0.001*Table1123[[#This Row],[pho (%)]])</f>
        <v>3.1894674137803143E-6</v>
      </c>
      <c r="U46" s="8">
        <f>Table1123[[#This Row],[M (KN.mm)]]/(Table1123[[#This Row],[b (mm)]]*Table1123[[#This Row],[d (mm)]]*Table1123[[#This Row],[pho (%)]])</f>
        <v>0.92843478687398828</v>
      </c>
      <c r="V46" s="8">
        <f>E46*224.8/(2*SQRT(Table1123[[#This Row],[fc (Mpa)]]*145.037)*Table1123[[#This Row],[b (mm)]]*Table1123[[#This Row],[d (mm)]]*(1/25.4)^2)</f>
        <v>1.4417930612327972</v>
      </c>
      <c r="W46" s="8">
        <f>Table1123[[#This Row],[M (KN.mm)]]/$G$46</f>
        <v>1</v>
      </c>
      <c r="X46" s="8">
        <f>E46*224.8/(2*SQRT(Table1123[[#This Row],[fc (Mpa)]]*145.037)*Table1123[[#This Row],[b (mm)]]*Table1123[[#This Row],[d (mm)]]*(1/25.4)^2+Table1123[[#This Row],[Av fy d/s (N)]]*0.2248)</f>
        <v>0.98320878284499569</v>
      </c>
      <c r="Y46" s="15">
        <v>0.502</v>
      </c>
      <c r="Z46" s="8">
        <f>Table1123[[#This Row],[Av fy/(b S) (Mpa)]]*Table1123[[#This Row],[d (mm)]]*Table1123[[#This Row],[b (mm)]]</f>
        <v>100931.11600000001</v>
      </c>
      <c r="AA46" s="8">
        <f>Table1123[[#This Row],[d (mm)]]/175</f>
        <v>1.6342857142857143</v>
      </c>
      <c r="AB46" s="8">
        <f>Table1123[[#This Row],[a/d]]*Table1123[[#This Row],[d]]</f>
        <v>1041.04</v>
      </c>
      <c r="AC46" s="8">
        <f>Table1123[[#This Row],[d]]</f>
        <v>286</v>
      </c>
      <c r="AD46" s="15">
        <v>336</v>
      </c>
      <c r="AE46" s="15">
        <v>703</v>
      </c>
      <c r="AF46" s="15">
        <v>42</v>
      </c>
      <c r="AG46" s="8">
        <f>Table1123[[#This Row],[pho (%)]]/100*Table1123[[#This Row],[b (mm)]]*Table1123[[#This Row],[d (mm)]]</f>
        <v>3498.4091999999996</v>
      </c>
      <c r="AH46" s="15">
        <v>1.74</v>
      </c>
      <c r="AI46" s="8">
        <v>465</v>
      </c>
      <c r="AJ46" s="8">
        <f>(1/3-0.21*(MIN(Table1123[[#This Row],[b (mm)]],AD46)/MAX(Table1123[[#This Row],[b (mm)]],AD46))*(MIN(Table1123[[#This Row],[b (mm)]],AD46)^4/(12*MAX(Table1123[[#This Row],[b (mm)]],AD46)^4)))*MAX(Table1123[[#This Row],[b (mm)]],AD46)*MIN(Table1123[[#This Row],[b (mm)]],AD46)^3</f>
        <v>8877340045.9684258</v>
      </c>
      <c r="AK46" s="8">
        <f>Table1123[[#This Row],[b (mm)]]*AD46^3/12</f>
        <v>2222244864</v>
      </c>
      <c r="AL46" s="15">
        <v>2080</v>
      </c>
      <c r="AM46" s="1"/>
      <c r="AN46" s="1"/>
    </row>
    <row r="47" spans="1:40" x14ac:dyDescent="0.25">
      <c r="A47" s="31" t="s">
        <v>114</v>
      </c>
      <c r="B47" s="15">
        <v>1</v>
      </c>
      <c r="C47" s="3">
        <v>46</v>
      </c>
      <c r="D47" s="15">
        <v>3.65</v>
      </c>
      <c r="E47" s="15">
        <v>52</v>
      </c>
      <c r="F47" s="15">
        <v>285</v>
      </c>
      <c r="G47" s="8">
        <f t="shared" ref="G47:G56" si="24">E47*AB47</f>
        <v>54093</v>
      </c>
      <c r="H47" s="8">
        <f t="shared" ref="H47:H56" si="25">G47/($AN$5*AK47*0.001)</f>
        <v>7.7921115148732177E-7</v>
      </c>
      <c r="I47" s="8">
        <f>G47/(Table1123[[#This Row],[b (mm)]]*AC47^2)</f>
        <v>9.4195885753988937E-4</v>
      </c>
      <c r="J47" s="8">
        <f t="shared" ref="J47:J56" si="26">G47/(AG47*AI47*AC47*0.001)</f>
        <v>0.11642057317264733</v>
      </c>
      <c r="K47" s="8">
        <f t="shared" ref="K47:K56" si="27">E47/($AN$4*AJ47*0.001)</f>
        <v>1.5733264648916389E-7</v>
      </c>
      <c r="L47" s="8">
        <f>E47/(Table1123[[#This Row],[b (mm)]]*AC47)</f>
        <v>2.5807091987394226E-4</v>
      </c>
      <c r="M47" s="8">
        <f>Table1123[[#This Row],[M (KN.mm)]]/(Table1123[[#This Row],[b (mm)]]*Table1123[[#This Row],[d (mm)]])</f>
        <v>0.26845827439886844</v>
      </c>
      <c r="N47" s="8">
        <f>Table1123[[#This Row],[M (KN.mm)]]/(Table1123[[#This Row],[b (mm)]]*Table1123[[#This Row],[h (mm)]])</f>
        <v>0.21552284001035918</v>
      </c>
      <c r="O47" s="8">
        <f>Table1123[[#This Row],[M (KN.mm)]]/(Table1123[[#This Row],[b (mm)]]*Table1123[[#This Row],[h (mm)]]*Table1123[[#This Row],[L(mm)]])</f>
        <v>1.0361675000498038E-4</v>
      </c>
      <c r="P47" s="8">
        <f>Table1123[[#This Row],[M (KN.mm)]]/(Table1123[[#This Row],[b (mm)]]*Table1123[[#This Row],[d (mm)]]*Table1123[[#This Row],[L(mm)]])</f>
        <v>1.2906647807637908E-4</v>
      </c>
      <c r="Q47" s="8">
        <f>Table1123[[#This Row],[M (KN.mm)]]/(Table1123[[#This Row],[b (mm)]]*Table1123[[#This Row],[h (mm)]]*Table1123[[#This Row],[L(mm)]]*Table1123[[#This Row],[fc (Mpa)]])</f>
        <v>2.4670654763090567E-6</v>
      </c>
      <c r="R47" s="8">
        <f>Table1123[[#This Row],[M (KN.mm)]]/(Table1123[[#This Row],[b (mm)]]*Table1123[[#This Row],[h (mm)]]*Table1123[[#This Row],[L(mm)]]/2)</f>
        <v>2.0723350000996076E-4</v>
      </c>
      <c r="S47" s="8">
        <f>Table1123[[#This Row],[M (KN.mm)]]/(Table1123[[#This Row],[a (mm)]]*Table1123[[#This Row],[b (mm)]]*Table1123[[#This Row],[h (mm)]]*Table1123[[#This Row],[L(mm)]]/2)</f>
        <v>1.992150925354105E-7</v>
      </c>
      <c r="T47" s="8">
        <f>G47/($AN$5*AK47*0.001*Table1123[[#This Row],[pho (%)]])</f>
        <v>4.4782250085478268E-7</v>
      </c>
      <c r="U47" s="8">
        <f>Table1123[[#This Row],[M (KN.mm)]]/(Table1123[[#This Row],[b (mm)]]*Table1123[[#This Row],[d (mm)]]*Table1123[[#This Row],[pho (%)]])</f>
        <v>0.15428636459705083</v>
      </c>
      <c r="V47" s="8">
        <f>E47*224.8/(2*SQRT(Table1123[[#This Row],[fc (Mpa)]]*145.037)*Table1123[[#This Row],[b (mm)]]*Table1123[[#This Row],[d (mm)]]*(1/25.4)^2)</f>
        <v>0.23977768621665024</v>
      </c>
      <c r="W47" s="8">
        <f>Table1123[[#This Row],[M (KN.mm)]]/$G$56</f>
        <v>0.12264150943396226</v>
      </c>
      <c r="X47" s="8">
        <f>E47*224.8/(2*SQRT(Table1123[[#This Row],[fc (Mpa)]]*145.037)*Table1123[[#This Row],[b (mm)]]*Table1123[[#This Row],[d (mm)]]*(1/25.4)^2+Table1123[[#This Row],[Av fy d/s (N)]]*0.2248)</f>
        <v>0.15637889855303452</v>
      </c>
      <c r="Y47" s="15">
        <v>0.57399999999999995</v>
      </c>
      <c r="Z47" s="8">
        <f>Table1123[[#This Row],[Av fy/(b S) (Mpa)]]*Table1123[[#This Row],[d (mm)]]*Table1123[[#This Row],[b (mm)]]</f>
        <v>115658.12999999998</v>
      </c>
      <c r="AA47" s="8">
        <f>Table1123[[#This Row],[d (mm)]]/175</f>
        <v>1.6285714285714286</v>
      </c>
      <c r="AB47" s="8">
        <f>Table1123[[#This Row],[a/d]]*Table1123[[#This Row],[d]]</f>
        <v>1040.25</v>
      </c>
      <c r="AC47" s="8">
        <f>Table1123[[#This Row],[d]]</f>
        <v>285</v>
      </c>
      <c r="AD47" s="15">
        <v>355</v>
      </c>
      <c r="AE47" s="15">
        <v>707</v>
      </c>
      <c r="AF47" s="15">
        <v>42</v>
      </c>
      <c r="AG47" s="8">
        <f>Table1123[[#This Row],[pho (%)]]/100*Table1123[[#This Row],[b (mm)]]*Table1123[[#This Row],[d (mm)]]</f>
        <v>3506.0129999999995</v>
      </c>
      <c r="AH47" s="15">
        <v>1.74</v>
      </c>
      <c r="AI47" s="8">
        <v>465</v>
      </c>
      <c r="AJ47" s="8">
        <f>(1/3-0.21*(MIN(Table1123[[#This Row],[b (mm)]],AD47)/MAX(Table1123[[#This Row],[b (mm)]],AD47))*(MIN(Table1123[[#This Row],[b (mm)]],AD47)^4/(12*MAX(Table1123[[#This Row],[b (mm)]],AD47)^4)))*MAX(Table1123[[#This Row],[b (mm)]],AD47)*MIN(Table1123[[#This Row],[b (mm)]],AD47)^3</f>
        <v>10525793548.690298</v>
      </c>
      <c r="AK47" s="8">
        <f>Table1123[[#This Row],[b (mm)]]*AD47^3/12</f>
        <v>2635865385.4166665</v>
      </c>
      <c r="AL47" s="15">
        <v>2080</v>
      </c>
      <c r="AM47" s="1"/>
      <c r="AN47" s="1"/>
    </row>
    <row r="48" spans="1:40" x14ac:dyDescent="0.25">
      <c r="A48" s="31" t="s">
        <v>114</v>
      </c>
      <c r="B48" s="15">
        <v>2</v>
      </c>
      <c r="C48" s="3">
        <v>47</v>
      </c>
      <c r="D48" s="15">
        <v>3.65</v>
      </c>
      <c r="E48" s="15">
        <v>100</v>
      </c>
      <c r="F48" s="15">
        <v>285</v>
      </c>
      <c r="G48" s="8">
        <f t="shared" si="24"/>
        <v>104025</v>
      </c>
      <c r="H48" s="8">
        <f t="shared" si="25"/>
        <v>1.498482983629465E-6</v>
      </c>
      <c r="I48" s="8">
        <f>G48/(Table1123[[#This Row],[b (mm)]]*AC48^2)</f>
        <v>1.811459341422864E-3</v>
      </c>
      <c r="J48" s="8">
        <f t="shared" si="26"/>
        <v>0.22388571763970638</v>
      </c>
      <c r="K48" s="8">
        <f t="shared" si="27"/>
        <v>3.0256278170993056E-7</v>
      </c>
      <c r="L48" s="8">
        <f>E48/(Table1123[[#This Row],[b (mm)]]*AC48)</f>
        <v>4.9629023052681208E-4</v>
      </c>
      <c r="M48" s="8">
        <f>Table1123[[#This Row],[M (KN.mm)]]/(Table1123[[#This Row],[b (mm)]]*Table1123[[#This Row],[d (mm)]])</f>
        <v>0.51626591230551622</v>
      </c>
      <c r="N48" s="8">
        <f>Table1123[[#This Row],[M (KN.mm)]]/(Table1123[[#This Row],[b (mm)]]*Table1123[[#This Row],[h (mm)]])</f>
        <v>0.41446700001992148</v>
      </c>
      <c r="O48" s="8">
        <f>Table1123[[#This Row],[M (KN.mm)]]/(Table1123[[#This Row],[b (mm)]]*Table1123[[#This Row],[h (mm)]]*Table1123[[#This Row],[L(mm)]])</f>
        <v>1.9926298077880842E-4</v>
      </c>
      <c r="P48" s="8">
        <f>Table1123[[#This Row],[M (KN.mm)]]/(Table1123[[#This Row],[b (mm)]]*Table1123[[#This Row],[d (mm)]]*Table1123[[#This Row],[L(mm)]])</f>
        <v>2.4820476553149819E-4</v>
      </c>
      <c r="Q48" s="8">
        <f>Table1123[[#This Row],[M (KN.mm)]]/(Table1123[[#This Row],[b (mm)]]*Table1123[[#This Row],[h (mm)]]*Table1123[[#This Row],[L(mm)]]*Table1123[[#This Row],[fc (Mpa)]])</f>
        <v>4.7443566852097238E-6</v>
      </c>
      <c r="R48" s="8">
        <f>Table1123[[#This Row],[M (KN.mm)]]/(Table1123[[#This Row],[b (mm)]]*Table1123[[#This Row],[h (mm)]]*Table1123[[#This Row],[L(mm)]]/2)</f>
        <v>3.9852596155761684E-4</v>
      </c>
      <c r="S48" s="8">
        <f>Table1123[[#This Row],[M (KN.mm)]]/(Table1123[[#This Row],[a (mm)]]*Table1123[[#This Row],[b (mm)]]*Table1123[[#This Row],[h (mm)]]*Table1123[[#This Row],[L(mm)]]/2)</f>
        <v>3.8310594718348169E-7</v>
      </c>
      <c r="T48" s="8">
        <f>G48/($AN$5*AK48*0.001*Table1123[[#This Row],[pho (%)]])</f>
        <v>8.6119711702842826E-7</v>
      </c>
      <c r="U48" s="8">
        <f>Table1123[[#This Row],[M (KN.mm)]]/(Table1123[[#This Row],[b (mm)]]*Table1123[[#This Row],[d (mm)]]*Table1123[[#This Row],[pho (%)]])</f>
        <v>0.29670454730202084</v>
      </c>
      <c r="V48" s="8">
        <f>E48*224.8/(2*SQRT(Table1123[[#This Row],[fc (Mpa)]]*145.037)*Table1123[[#This Row],[b (mm)]]*Table1123[[#This Row],[d (mm)]]*(1/25.4)^2)</f>
        <v>0.46111093503201966</v>
      </c>
      <c r="W48" s="8">
        <f>Table1123[[#This Row],[M (KN.mm)]]/$G$56</f>
        <v>0.23584905660377359</v>
      </c>
      <c r="X48" s="8">
        <f>E48*224.8/(2*SQRT(Table1123[[#This Row],[fc (Mpa)]]*145.037)*Table1123[[#This Row],[b (mm)]]*Table1123[[#This Row],[d (mm)]]*(1/25.4)^2+Table1123[[#This Row],[Av fy d/s (N)]]*0.2248)</f>
        <v>0.30072865106352792</v>
      </c>
      <c r="Y48" s="15">
        <v>0.57399999999999995</v>
      </c>
      <c r="Z48" s="8">
        <f>Table1123[[#This Row],[Av fy/(b S) (Mpa)]]*Table1123[[#This Row],[d (mm)]]*Table1123[[#This Row],[b (mm)]]</f>
        <v>115658.12999999998</v>
      </c>
      <c r="AA48" s="8">
        <f>Table1123[[#This Row],[d (mm)]]/175</f>
        <v>1.6285714285714286</v>
      </c>
      <c r="AB48" s="8">
        <f>Table1123[[#This Row],[a/d]]*Table1123[[#This Row],[d]]</f>
        <v>1040.25</v>
      </c>
      <c r="AC48" s="8">
        <f>Table1123[[#This Row],[d]]</f>
        <v>285</v>
      </c>
      <c r="AD48" s="15">
        <v>355</v>
      </c>
      <c r="AE48" s="15">
        <v>707</v>
      </c>
      <c r="AF48" s="15">
        <v>42</v>
      </c>
      <c r="AG48" s="8">
        <f>Table1123[[#This Row],[pho (%)]]/100*Table1123[[#This Row],[b (mm)]]*Table1123[[#This Row],[d (mm)]]</f>
        <v>3506.0129999999995</v>
      </c>
      <c r="AH48" s="15">
        <v>1.74</v>
      </c>
      <c r="AI48" s="8">
        <v>465</v>
      </c>
      <c r="AJ48" s="8">
        <f>(1/3-0.21*(MIN(Table1123[[#This Row],[b (mm)]],AD48)/MAX(Table1123[[#This Row],[b (mm)]],AD48))*(MIN(Table1123[[#This Row],[b (mm)]],AD48)^4/(12*MAX(Table1123[[#This Row],[b (mm)]],AD48)^4)))*MAX(Table1123[[#This Row],[b (mm)]],AD48)*MIN(Table1123[[#This Row],[b (mm)]],AD48)^3</f>
        <v>10525793548.690298</v>
      </c>
      <c r="AK48" s="8">
        <f>Table1123[[#This Row],[b (mm)]]*AD48^3/12</f>
        <v>2635865385.4166665</v>
      </c>
      <c r="AL48" s="15">
        <v>2080</v>
      </c>
      <c r="AM48" s="1"/>
      <c r="AN48" s="1"/>
    </row>
    <row r="49" spans="1:43" x14ac:dyDescent="0.25">
      <c r="A49" s="31" t="s">
        <v>114</v>
      </c>
      <c r="B49" s="15">
        <v>3</v>
      </c>
      <c r="C49" s="3">
        <v>48</v>
      </c>
      <c r="D49" s="15">
        <v>3.65</v>
      </c>
      <c r="E49" s="15">
        <v>149.5</v>
      </c>
      <c r="F49" s="15">
        <v>285</v>
      </c>
      <c r="G49" s="8">
        <f t="shared" si="24"/>
        <v>155517.375</v>
      </c>
      <c r="H49" s="8">
        <f t="shared" si="25"/>
        <v>2.2402320605260502E-6</v>
      </c>
      <c r="I49" s="8">
        <f>G49/(Table1123[[#This Row],[b (mm)]]*AC49^2)</f>
        <v>2.7081317154271818E-3</v>
      </c>
      <c r="J49" s="8">
        <f t="shared" si="26"/>
        <v>0.33470914787136108</v>
      </c>
      <c r="K49" s="8">
        <f t="shared" si="27"/>
        <v>4.5233135865634622E-7</v>
      </c>
      <c r="L49" s="8">
        <f>E49/(Table1123[[#This Row],[b (mm)]]*AC49)</f>
        <v>7.4195389463758402E-4</v>
      </c>
      <c r="M49" s="8">
        <f>Table1123[[#This Row],[M (KN.mm)]]/(Table1123[[#This Row],[b (mm)]]*Table1123[[#This Row],[d (mm)]])</f>
        <v>0.77181753889674687</v>
      </c>
      <c r="N49" s="8">
        <f>Table1123[[#This Row],[M (KN.mm)]]/(Table1123[[#This Row],[b (mm)]]*Table1123[[#This Row],[h (mm)]])</f>
        <v>0.61962816502978268</v>
      </c>
      <c r="O49" s="8">
        <f>Table1123[[#This Row],[M (KN.mm)]]/(Table1123[[#This Row],[b (mm)]]*Table1123[[#This Row],[h (mm)]]*Table1123[[#This Row],[L(mm)]])</f>
        <v>2.978981562643186E-4</v>
      </c>
      <c r="P49" s="8">
        <f>Table1123[[#This Row],[M (KN.mm)]]/(Table1123[[#This Row],[b (mm)]]*Table1123[[#This Row],[d (mm)]]*Table1123[[#This Row],[L(mm)]])</f>
        <v>3.7106612446958983E-4</v>
      </c>
      <c r="Q49" s="8">
        <f>Table1123[[#This Row],[M (KN.mm)]]/(Table1123[[#This Row],[b (mm)]]*Table1123[[#This Row],[h (mm)]]*Table1123[[#This Row],[L(mm)]]*Table1123[[#This Row],[fc (Mpa)]])</f>
        <v>7.0928132443885377E-6</v>
      </c>
      <c r="R49" s="8">
        <f>Table1123[[#This Row],[M (KN.mm)]]/(Table1123[[#This Row],[b (mm)]]*Table1123[[#This Row],[h (mm)]]*Table1123[[#This Row],[L(mm)]]/2)</f>
        <v>5.9579631252863719E-4</v>
      </c>
      <c r="S49" s="8">
        <f>Table1123[[#This Row],[M (KN.mm)]]/(Table1123[[#This Row],[a (mm)]]*Table1123[[#This Row],[b (mm)]]*Table1123[[#This Row],[h (mm)]]*Table1123[[#This Row],[L(mm)]]/2)</f>
        <v>5.7274339103930519E-7</v>
      </c>
      <c r="T49" s="8">
        <f>G49/($AN$5*AK49*0.001*Table1123[[#This Row],[pho (%)]])</f>
        <v>1.2874896899575002E-6</v>
      </c>
      <c r="U49" s="8">
        <f>Table1123[[#This Row],[M (KN.mm)]]/(Table1123[[#This Row],[b (mm)]]*Table1123[[#This Row],[d (mm)]]*Table1123[[#This Row],[pho (%)]])</f>
        <v>0.44357329821652119</v>
      </c>
      <c r="V49" s="8">
        <f>E49*224.8/(2*SQRT(Table1123[[#This Row],[fc (Mpa)]]*145.037)*Table1123[[#This Row],[b (mm)]]*Table1123[[#This Row],[d (mm)]]*(1/25.4)^2)</f>
        <v>0.68936084787286944</v>
      </c>
      <c r="W49" s="8">
        <f>Table1123[[#This Row],[M (KN.mm)]]/$G$56</f>
        <v>0.35259433962264153</v>
      </c>
      <c r="X49" s="8">
        <f>E49*224.8/(2*SQRT(Table1123[[#This Row],[fc (Mpa)]]*145.037)*Table1123[[#This Row],[b (mm)]]*Table1123[[#This Row],[d (mm)]]*(1/25.4)^2+Table1123[[#This Row],[Av fy d/s (N)]]*0.2248)</f>
        <v>0.4495893333399742</v>
      </c>
      <c r="Y49" s="15">
        <v>0.57399999999999995</v>
      </c>
      <c r="Z49" s="8">
        <f>Table1123[[#This Row],[Av fy/(b S) (Mpa)]]*Table1123[[#This Row],[d (mm)]]*Table1123[[#This Row],[b (mm)]]</f>
        <v>115658.12999999998</v>
      </c>
      <c r="AA49" s="8">
        <f>Table1123[[#This Row],[d (mm)]]/175</f>
        <v>1.6285714285714286</v>
      </c>
      <c r="AB49" s="8">
        <f>Table1123[[#This Row],[a/d]]*Table1123[[#This Row],[d]]</f>
        <v>1040.25</v>
      </c>
      <c r="AC49" s="8">
        <f>Table1123[[#This Row],[d]]</f>
        <v>285</v>
      </c>
      <c r="AD49" s="15">
        <v>355</v>
      </c>
      <c r="AE49" s="15">
        <v>707</v>
      </c>
      <c r="AF49" s="15">
        <v>42</v>
      </c>
      <c r="AG49" s="8">
        <f>Table1123[[#This Row],[pho (%)]]/100*Table1123[[#This Row],[b (mm)]]*Table1123[[#This Row],[d (mm)]]</f>
        <v>3506.0129999999995</v>
      </c>
      <c r="AH49" s="15">
        <v>1.74</v>
      </c>
      <c r="AI49" s="8">
        <v>465</v>
      </c>
      <c r="AJ49" s="8">
        <f>(1/3-0.21*(MIN(Table1123[[#This Row],[b (mm)]],AD49)/MAX(Table1123[[#This Row],[b (mm)]],AD49))*(MIN(Table1123[[#This Row],[b (mm)]],AD49)^4/(12*MAX(Table1123[[#This Row],[b (mm)]],AD49)^4)))*MAX(Table1123[[#This Row],[b (mm)]],AD49)*MIN(Table1123[[#This Row],[b (mm)]],AD49)^3</f>
        <v>10525793548.690298</v>
      </c>
      <c r="AK49" s="8">
        <f>Table1123[[#This Row],[b (mm)]]*AD49^3/12</f>
        <v>2635865385.4166665</v>
      </c>
      <c r="AL49" s="15">
        <v>2080</v>
      </c>
      <c r="AM49" s="1"/>
      <c r="AN49" s="1"/>
    </row>
    <row r="50" spans="1:43" x14ac:dyDescent="0.25">
      <c r="A50" s="31" t="s">
        <v>114</v>
      </c>
      <c r="B50" s="15">
        <v>4</v>
      </c>
      <c r="C50" s="3">
        <v>49</v>
      </c>
      <c r="D50" s="15">
        <v>3.65</v>
      </c>
      <c r="E50" s="15">
        <v>200.5</v>
      </c>
      <c r="F50" s="15">
        <v>285</v>
      </c>
      <c r="G50" s="8">
        <f t="shared" si="24"/>
        <v>208570.125</v>
      </c>
      <c r="H50" s="8">
        <f t="shared" si="25"/>
        <v>3.0044583821770775E-6</v>
      </c>
      <c r="I50" s="8">
        <f>G50/(Table1123[[#This Row],[b (mm)]]*AC50^2)</f>
        <v>3.6319759795528424E-3</v>
      </c>
      <c r="J50" s="8">
        <f t="shared" si="26"/>
        <v>0.44889086386761134</v>
      </c>
      <c r="K50" s="8">
        <f t="shared" si="27"/>
        <v>6.0663837732841079E-7</v>
      </c>
      <c r="L50" s="8">
        <f>E50/(Table1123[[#This Row],[b (mm)]]*AC50)</f>
        <v>9.9506191220625822E-4</v>
      </c>
      <c r="M50" s="8">
        <f>Table1123[[#This Row],[M (KN.mm)]]/(Table1123[[#This Row],[b (mm)]]*Table1123[[#This Row],[d (mm)]])</f>
        <v>1.0351131541725602</v>
      </c>
      <c r="N50" s="8">
        <f>Table1123[[#This Row],[M (KN.mm)]]/(Table1123[[#This Row],[b (mm)]]*Table1123[[#This Row],[h (mm)]])</f>
        <v>0.83100633503994259</v>
      </c>
      <c r="O50" s="8">
        <f>Table1123[[#This Row],[M (KN.mm)]]/(Table1123[[#This Row],[b (mm)]]*Table1123[[#This Row],[h (mm)]]*Table1123[[#This Row],[L(mm)]])</f>
        <v>3.9952227646151088E-4</v>
      </c>
      <c r="P50" s="8">
        <f>Table1123[[#This Row],[M (KN.mm)]]/(Table1123[[#This Row],[b (mm)]]*Table1123[[#This Row],[d (mm)]]*Table1123[[#This Row],[L(mm)]])</f>
        <v>4.9765055489065391E-4</v>
      </c>
      <c r="Q50" s="8">
        <f>Table1123[[#This Row],[M (KN.mm)]]/(Table1123[[#This Row],[b (mm)]]*Table1123[[#This Row],[h (mm)]]*Table1123[[#This Row],[L(mm)]]*Table1123[[#This Row],[fc (Mpa)]])</f>
        <v>9.5124351538454978E-6</v>
      </c>
      <c r="R50" s="8">
        <f>Table1123[[#This Row],[M (KN.mm)]]/(Table1123[[#This Row],[b (mm)]]*Table1123[[#This Row],[h (mm)]]*Table1123[[#This Row],[L(mm)]]/2)</f>
        <v>7.9904455292302177E-4</v>
      </c>
      <c r="S50" s="8">
        <f>Table1123[[#This Row],[M (KN.mm)]]/(Table1123[[#This Row],[a (mm)]]*Table1123[[#This Row],[b (mm)]]*Table1123[[#This Row],[h (mm)]]*Table1123[[#This Row],[L(mm)]]/2)</f>
        <v>7.6812742410288079E-7</v>
      </c>
      <c r="T50" s="8">
        <f>G50/($AN$5*AK50*0.001*Table1123[[#This Row],[pho (%)]])</f>
        <v>1.7267002196419986E-6</v>
      </c>
      <c r="U50" s="8">
        <f>Table1123[[#This Row],[M (KN.mm)]]/(Table1123[[#This Row],[b (mm)]]*Table1123[[#This Row],[d (mm)]]*Table1123[[#This Row],[pho (%)]])</f>
        <v>0.59489261734055177</v>
      </c>
      <c r="V50" s="8">
        <f>E50*224.8/(2*SQRT(Table1123[[#This Row],[fc (Mpa)]]*145.037)*Table1123[[#This Row],[b (mm)]]*Table1123[[#This Row],[d (mm)]]*(1/25.4)^2)</f>
        <v>0.92452742473919947</v>
      </c>
      <c r="W50" s="8">
        <f>Table1123[[#This Row],[M (KN.mm)]]/$G$56</f>
        <v>0.47287735849056606</v>
      </c>
      <c r="X50" s="8">
        <f>E50*224.8/(2*SQRT(Table1123[[#This Row],[fc (Mpa)]]*145.037)*Table1123[[#This Row],[b (mm)]]*Table1123[[#This Row],[d (mm)]]*(1/25.4)^2+Table1123[[#This Row],[Av fy d/s (N)]]*0.2248)</f>
        <v>0.60296094538237344</v>
      </c>
      <c r="Y50" s="15">
        <v>0.57399999999999995</v>
      </c>
      <c r="Z50" s="8">
        <f>Table1123[[#This Row],[Av fy/(b S) (Mpa)]]*Table1123[[#This Row],[d (mm)]]*Table1123[[#This Row],[b (mm)]]</f>
        <v>115658.12999999998</v>
      </c>
      <c r="AA50" s="8">
        <f>Table1123[[#This Row],[d (mm)]]/175</f>
        <v>1.6285714285714286</v>
      </c>
      <c r="AB50" s="8">
        <f>Table1123[[#This Row],[a/d]]*Table1123[[#This Row],[d]]</f>
        <v>1040.25</v>
      </c>
      <c r="AC50" s="8">
        <f>Table1123[[#This Row],[d]]</f>
        <v>285</v>
      </c>
      <c r="AD50" s="15">
        <v>355</v>
      </c>
      <c r="AE50" s="15">
        <v>707</v>
      </c>
      <c r="AF50" s="15">
        <v>42</v>
      </c>
      <c r="AG50" s="8">
        <f>Table1123[[#This Row],[pho (%)]]/100*Table1123[[#This Row],[b (mm)]]*Table1123[[#This Row],[d (mm)]]</f>
        <v>3506.0129999999995</v>
      </c>
      <c r="AH50" s="15">
        <v>1.74</v>
      </c>
      <c r="AI50" s="8">
        <v>465</v>
      </c>
      <c r="AJ50" s="8">
        <f>(1/3-0.21*(MIN(Table1123[[#This Row],[b (mm)]],AD50)/MAX(Table1123[[#This Row],[b (mm)]],AD50))*(MIN(Table1123[[#This Row],[b (mm)]],AD50)^4/(12*MAX(Table1123[[#This Row],[b (mm)]],AD50)^4)))*MAX(Table1123[[#This Row],[b (mm)]],AD50)*MIN(Table1123[[#This Row],[b (mm)]],AD50)^3</f>
        <v>10525793548.690298</v>
      </c>
      <c r="AK50" s="8">
        <f>Table1123[[#This Row],[b (mm)]]*AD50^3/12</f>
        <v>2635865385.4166665</v>
      </c>
      <c r="AL50" s="15">
        <v>2080</v>
      </c>
      <c r="AM50" s="1"/>
      <c r="AN50" s="1"/>
    </row>
    <row r="51" spans="1:43" x14ac:dyDescent="0.25">
      <c r="A51" s="31" t="s">
        <v>114</v>
      </c>
      <c r="B51" s="15">
        <v>5</v>
      </c>
      <c r="C51" s="3">
        <v>50</v>
      </c>
      <c r="D51" s="15">
        <v>3.65</v>
      </c>
      <c r="E51" s="15">
        <v>250</v>
      </c>
      <c r="F51" s="15">
        <v>285</v>
      </c>
      <c r="G51" s="8">
        <f t="shared" si="24"/>
        <v>260062.5</v>
      </c>
      <c r="H51" s="8">
        <f t="shared" si="25"/>
        <v>3.7462074590736625E-6</v>
      </c>
      <c r="I51" s="8">
        <f>G51/(Table1123[[#This Row],[b (mm)]]*AC51^2)</f>
        <v>4.5286483535571598E-3</v>
      </c>
      <c r="J51" s="8">
        <f t="shared" si="26"/>
        <v>0.55971429409926599</v>
      </c>
      <c r="K51" s="8">
        <f t="shared" si="27"/>
        <v>7.564069542748264E-7</v>
      </c>
      <c r="L51" s="8">
        <f>E51/(Table1123[[#This Row],[b (mm)]]*AC51)</f>
        <v>1.2407255763170302E-3</v>
      </c>
      <c r="M51" s="8">
        <f>Table1123[[#This Row],[M (KN.mm)]]/(Table1123[[#This Row],[b (mm)]]*Table1123[[#This Row],[d (mm)]])</f>
        <v>1.2906647807637908</v>
      </c>
      <c r="N51" s="8">
        <f>Table1123[[#This Row],[M (KN.mm)]]/(Table1123[[#This Row],[b (mm)]]*Table1123[[#This Row],[h (mm)]])</f>
        <v>1.0361675000498038</v>
      </c>
      <c r="O51" s="8">
        <f>Table1123[[#This Row],[M (KN.mm)]]/(Table1123[[#This Row],[b (mm)]]*Table1123[[#This Row],[h (mm)]]*Table1123[[#This Row],[L(mm)]])</f>
        <v>4.9815745194702109E-4</v>
      </c>
      <c r="P51" s="8">
        <f>Table1123[[#This Row],[M (KN.mm)]]/(Table1123[[#This Row],[b (mm)]]*Table1123[[#This Row],[d (mm)]]*Table1123[[#This Row],[L(mm)]])</f>
        <v>6.2051191382874555E-4</v>
      </c>
      <c r="Q51" s="8">
        <f>Table1123[[#This Row],[M (KN.mm)]]/(Table1123[[#This Row],[b (mm)]]*Table1123[[#This Row],[h (mm)]]*Table1123[[#This Row],[L(mm)]]*Table1123[[#This Row],[fc (Mpa)]])</f>
        <v>1.1860891713024311E-5</v>
      </c>
      <c r="R51" s="8">
        <f>Table1123[[#This Row],[M (KN.mm)]]/(Table1123[[#This Row],[b (mm)]]*Table1123[[#This Row],[h (mm)]]*Table1123[[#This Row],[L(mm)]]/2)</f>
        <v>9.9631490389404218E-4</v>
      </c>
      <c r="S51" s="8">
        <f>Table1123[[#This Row],[M (KN.mm)]]/(Table1123[[#This Row],[a (mm)]]*Table1123[[#This Row],[b (mm)]]*Table1123[[#This Row],[h (mm)]]*Table1123[[#This Row],[L(mm)]]/2)</f>
        <v>9.5776486795870418E-7</v>
      </c>
      <c r="T51" s="8">
        <f>G51/($AN$5*AK51*0.001*Table1123[[#This Row],[pho (%)]])</f>
        <v>2.1529927925710705E-6</v>
      </c>
      <c r="U51" s="8">
        <f>Table1123[[#This Row],[M (KN.mm)]]/(Table1123[[#This Row],[b (mm)]]*Table1123[[#This Row],[d (mm)]]*Table1123[[#This Row],[pho (%)]])</f>
        <v>0.74176136825505212</v>
      </c>
      <c r="V51" s="8">
        <f>E51*224.8/(2*SQRT(Table1123[[#This Row],[fc (Mpa)]]*145.037)*Table1123[[#This Row],[b (mm)]]*Table1123[[#This Row],[d (mm)]]*(1/25.4)^2)</f>
        <v>1.1527773375800492</v>
      </c>
      <c r="W51" s="8">
        <f>Table1123[[#This Row],[M (KN.mm)]]/$G$56</f>
        <v>0.589622641509434</v>
      </c>
      <c r="X51" s="8">
        <f>E51*224.8/(2*SQRT(Table1123[[#This Row],[fc (Mpa)]]*145.037)*Table1123[[#This Row],[b (mm)]]*Table1123[[#This Row],[d (mm)]]*(1/25.4)^2+Table1123[[#This Row],[Av fy d/s (N)]]*0.2248)</f>
        <v>0.75182162765881977</v>
      </c>
      <c r="Y51" s="15">
        <v>0.57399999999999995</v>
      </c>
      <c r="Z51" s="8">
        <f>Table1123[[#This Row],[Av fy/(b S) (Mpa)]]*Table1123[[#This Row],[d (mm)]]*Table1123[[#This Row],[b (mm)]]</f>
        <v>115658.12999999998</v>
      </c>
      <c r="AA51" s="8">
        <f>Table1123[[#This Row],[d (mm)]]/175</f>
        <v>1.6285714285714286</v>
      </c>
      <c r="AB51" s="8">
        <f>Table1123[[#This Row],[a/d]]*Table1123[[#This Row],[d]]</f>
        <v>1040.25</v>
      </c>
      <c r="AC51" s="8">
        <f>Table1123[[#This Row],[d]]</f>
        <v>285</v>
      </c>
      <c r="AD51" s="15">
        <v>355</v>
      </c>
      <c r="AE51" s="15">
        <v>707</v>
      </c>
      <c r="AF51" s="15">
        <v>42</v>
      </c>
      <c r="AG51" s="8">
        <f>Table1123[[#This Row],[pho (%)]]/100*Table1123[[#This Row],[b (mm)]]*Table1123[[#This Row],[d (mm)]]</f>
        <v>3506.0129999999995</v>
      </c>
      <c r="AH51" s="15">
        <v>1.74</v>
      </c>
      <c r="AI51" s="8">
        <v>465</v>
      </c>
      <c r="AJ51" s="8">
        <f>(1/3-0.21*(MIN(Table1123[[#This Row],[b (mm)]],AD51)/MAX(Table1123[[#This Row],[b (mm)]],AD51))*(MIN(Table1123[[#This Row],[b (mm)]],AD51)^4/(12*MAX(Table1123[[#This Row],[b (mm)]],AD51)^4)))*MAX(Table1123[[#This Row],[b (mm)]],AD51)*MIN(Table1123[[#This Row],[b (mm)]],AD51)^3</f>
        <v>10525793548.690298</v>
      </c>
      <c r="AK51" s="8">
        <f>Table1123[[#This Row],[b (mm)]]*AD51^3/12</f>
        <v>2635865385.4166665</v>
      </c>
      <c r="AL51" s="15">
        <v>2080</v>
      </c>
      <c r="AM51" s="1"/>
      <c r="AN51" s="1"/>
    </row>
    <row r="52" spans="1:43" x14ac:dyDescent="0.25">
      <c r="A52" s="31" t="s">
        <v>114</v>
      </c>
      <c r="B52" s="15">
        <v>6</v>
      </c>
      <c r="C52" s="3">
        <v>51</v>
      </c>
      <c r="D52" s="15">
        <v>3.65</v>
      </c>
      <c r="E52" s="15">
        <v>275</v>
      </c>
      <c r="F52" s="15">
        <v>285</v>
      </c>
      <c r="G52" s="8">
        <f t="shared" si="24"/>
        <v>286068.75</v>
      </c>
      <c r="H52" s="8">
        <f t="shared" si="25"/>
        <v>4.1208282049810291E-6</v>
      </c>
      <c r="I52" s="8">
        <f>G52/(Table1123[[#This Row],[b (mm)]]*AC52^2)</f>
        <v>4.9815131889128766E-3</v>
      </c>
      <c r="J52" s="8">
        <f t="shared" si="26"/>
        <v>0.6156857235091926</v>
      </c>
      <c r="K52" s="8">
        <f t="shared" si="27"/>
        <v>8.3204764970230909E-7</v>
      </c>
      <c r="L52" s="8">
        <f>E52/(Table1123[[#This Row],[b (mm)]]*AC52)</f>
        <v>1.3647981339487331E-3</v>
      </c>
      <c r="M52" s="8">
        <f>Table1123[[#This Row],[M (KN.mm)]]/(Table1123[[#This Row],[b (mm)]]*Table1123[[#This Row],[d (mm)]])</f>
        <v>1.4197312588401698</v>
      </c>
      <c r="N52" s="8">
        <f>Table1123[[#This Row],[M (KN.mm)]]/(Table1123[[#This Row],[b (mm)]]*Table1123[[#This Row],[h (mm)]])</f>
        <v>1.1397842500547841</v>
      </c>
      <c r="O52" s="8">
        <f>Table1123[[#This Row],[M (KN.mm)]]/(Table1123[[#This Row],[b (mm)]]*Table1123[[#This Row],[h (mm)]]*Table1123[[#This Row],[L(mm)]])</f>
        <v>5.4797319714172319E-4</v>
      </c>
      <c r="P52" s="8">
        <f>Table1123[[#This Row],[M (KN.mm)]]/(Table1123[[#This Row],[b (mm)]]*Table1123[[#This Row],[d (mm)]]*Table1123[[#This Row],[L(mm)]])</f>
        <v>6.8256310521162009E-4</v>
      </c>
      <c r="Q52" s="8">
        <f>Table1123[[#This Row],[M (KN.mm)]]/(Table1123[[#This Row],[b (mm)]]*Table1123[[#This Row],[h (mm)]]*Table1123[[#This Row],[L(mm)]]*Table1123[[#This Row],[fc (Mpa)]])</f>
        <v>1.3046980884326742E-5</v>
      </c>
      <c r="R52" s="8">
        <f>Table1123[[#This Row],[M (KN.mm)]]/(Table1123[[#This Row],[b (mm)]]*Table1123[[#This Row],[h (mm)]]*Table1123[[#This Row],[L(mm)]]/2)</f>
        <v>1.0959463942834464E-3</v>
      </c>
      <c r="S52" s="8">
        <f>Table1123[[#This Row],[M (KN.mm)]]/(Table1123[[#This Row],[a (mm)]]*Table1123[[#This Row],[b (mm)]]*Table1123[[#This Row],[h (mm)]]*Table1123[[#This Row],[L(mm)]]/2)</f>
        <v>1.0535413547545747E-6</v>
      </c>
      <c r="T52" s="8">
        <f>G52/($AN$5*AK52*0.001*Table1123[[#This Row],[pho (%)]])</f>
        <v>2.3682920718281776E-6</v>
      </c>
      <c r="U52" s="8">
        <f>Table1123[[#This Row],[M (KN.mm)]]/(Table1123[[#This Row],[b (mm)]]*Table1123[[#This Row],[d (mm)]]*Table1123[[#This Row],[pho (%)]])</f>
        <v>0.81593750508055729</v>
      </c>
      <c r="V52" s="8">
        <f>E52*224.8/(2*SQRT(Table1123[[#This Row],[fc (Mpa)]]*145.037)*Table1123[[#This Row],[b (mm)]]*Table1123[[#This Row],[d (mm)]]*(1/25.4)^2)</f>
        <v>1.2680550713380541</v>
      </c>
      <c r="W52" s="8">
        <f>Table1123[[#This Row],[M (KN.mm)]]/$G$56</f>
        <v>0.64858490566037741</v>
      </c>
      <c r="X52" s="8">
        <f>E52*224.8/(2*SQRT(Table1123[[#This Row],[fc (Mpa)]]*145.037)*Table1123[[#This Row],[b (mm)]]*Table1123[[#This Row],[d (mm)]]*(1/25.4)^2+Table1123[[#This Row],[Av fy d/s (N)]]*0.2248)</f>
        <v>0.82700379042470173</v>
      </c>
      <c r="Y52" s="15">
        <v>0.57399999999999995</v>
      </c>
      <c r="Z52" s="8">
        <f>Table1123[[#This Row],[Av fy/(b S) (Mpa)]]*Table1123[[#This Row],[d (mm)]]*Table1123[[#This Row],[b (mm)]]</f>
        <v>115658.12999999998</v>
      </c>
      <c r="AA52" s="8">
        <f>Table1123[[#This Row],[d (mm)]]/175</f>
        <v>1.6285714285714286</v>
      </c>
      <c r="AB52" s="8">
        <f>Table1123[[#This Row],[a/d]]*Table1123[[#This Row],[d]]</f>
        <v>1040.25</v>
      </c>
      <c r="AC52" s="8">
        <f>Table1123[[#This Row],[d]]</f>
        <v>285</v>
      </c>
      <c r="AD52" s="15">
        <v>355</v>
      </c>
      <c r="AE52" s="15">
        <v>707</v>
      </c>
      <c r="AF52" s="15">
        <v>42</v>
      </c>
      <c r="AG52" s="8">
        <f>Table1123[[#This Row],[pho (%)]]/100*Table1123[[#This Row],[b (mm)]]*Table1123[[#This Row],[d (mm)]]</f>
        <v>3506.0129999999995</v>
      </c>
      <c r="AH52" s="15">
        <v>1.74</v>
      </c>
      <c r="AI52" s="8">
        <v>465</v>
      </c>
      <c r="AJ52" s="8">
        <f>(1/3-0.21*(MIN(Table1123[[#This Row],[b (mm)]],AD52)/MAX(Table1123[[#This Row],[b (mm)]],AD52))*(MIN(Table1123[[#This Row],[b (mm)]],AD52)^4/(12*MAX(Table1123[[#This Row],[b (mm)]],AD52)^4)))*MAX(Table1123[[#This Row],[b (mm)]],AD52)*MIN(Table1123[[#This Row],[b (mm)]],AD52)^3</f>
        <v>10525793548.690298</v>
      </c>
      <c r="AK52" s="8">
        <f>Table1123[[#This Row],[b (mm)]]*AD52^3/12</f>
        <v>2635865385.4166665</v>
      </c>
      <c r="AL52" s="15">
        <v>2080</v>
      </c>
      <c r="AM52" s="1"/>
      <c r="AN52" s="1"/>
    </row>
    <row r="53" spans="1:43" x14ac:dyDescent="0.25">
      <c r="A53" s="31" t="s">
        <v>114</v>
      </c>
      <c r="B53" s="15">
        <v>7</v>
      </c>
      <c r="C53" s="3">
        <v>52</v>
      </c>
      <c r="D53" s="15">
        <v>3.65</v>
      </c>
      <c r="E53" s="15">
        <v>312.5</v>
      </c>
      <c r="F53" s="15">
        <v>285</v>
      </c>
      <c r="G53" s="8">
        <f t="shared" si="24"/>
        <v>325078.125</v>
      </c>
      <c r="H53" s="8">
        <f t="shared" si="25"/>
        <v>4.682759323842078E-6</v>
      </c>
      <c r="I53" s="8">
        <f>G53/(Table1123[[#This Row],[b (mm)]]*AC53^2)</f>
        <v>5.6608104419464504E-3</v>
      </c>
      <c r="J53" s="8">
        <f t="shared" si="26"/>
        <v>0.69964286762408245</v>
      </c>
      <c r="K53" s="8">
        <f t="shared" si="27"/>
        <v>9.4550869284353297E-7</v>
      </c>
      <c r="L53" s="8">
        <f>E53/(Table1123[[#This Row],[b (mm)]]*AC53)</f>
        <v>1.5509069703962877E-3</v>
      </c>
      <c r="M53" s="8">
        <f>Table1123[[#This Row],[M (KN.mm)]]/(Table1123[[#This Row],[b (mm)]]*Table1123[[#This Row],[d (mm)]])</f>
        <v>1.6133309759547383</v>
      </c>
      <c r="N53" s="8">
        <f>Table1123[[#This Row],[M (KN.mm)]]/(Table1123[[#This Row],[b (mm)]]*Table1123[[#This Row],[h (mm)]])</f>
        <v>1.2952093750622546</v>
      </c>
      <c r="O53" s="8">
        <f>Table1123[[#This Row],[M (KN.mm)]]/(Table1123[[#This Row],[b (mm)]]*Table1123[[#This Row],[h (mm)]]*Table1123[[#This Row],[L(mm)]])</f>
        <v>6.2269681493377633E-4</v>
      </c>
      <c r="P53" s="8">
        <f>Table1123[[#This Row],[M (KN.mm)]]/(Table1123[[#This Row],[b (mm)]]*Table1123[[#This Row],[d (mm)]]*Table1123[[#This Row],[L(mm)]])</f>
        <v>7.7563989228593194E-4</v>
      </c>
      <c r="Q53" s="8">
        <f>Table1123[[#This Row],[M (KN.mm)]]/(Table1123[[#This Row],[b (mm)]]*Table1123[[#This Row],[h (mm)]]*Table1123[[#This Row],[L(mm)]]*Table1123[[#This Row],[fc (Mpa)]])</f>
        <v>1.4826114641280388E-5</v>
      </c>
      <c r="R53" s="8">
        <f>Table1123[[#This Row],[M (KN.mm)]]/(Table1123[[#This Row],[b (mm)]]*Table1123[[#This Row],[h (mm)]]*Table1123[[#This Row],[L(mm)]]/2)</f>
        <v>1.2453936298675527E-3</v>
      </c>
      <c r="S53" s="8">
        <f>Table1123[[#This Row],[M (KN.mm)]]/(Table1123[[#This Row],[a (mm)]]*Table1123[[#This Row],[b (mm)]]*Table1123[[#This Row],[h (mm)]]*Table1123[[#This Row],[L(mm)]]/2)</f>
        <v>1.1972060849483802E-6</v>
      </c>
      <c r="T53" s="8">
        <f>G53/($AN$5*AK53*0.001*Table1123[[#This Row],[pho (%)]])</f>
        <v>2.6912409907138383E-6</v>
      </c>
      <c r="U53" s="8">
        <f>Table1123[[#This Row],[M (KN.mm)]]/(Table1123[[#This Row],[b (mm)]]*Table1123[[#This Row],[d (mm)]]*Table1123[[#This Row],[pho (%)]])</f>
        <v>0.92720171031881515</v>
      </c>
      <c r="V53" s="8">
        <f>E53*224.8/(2*SQRT(Table1123[[#This Row],[fc (Mpa)]]*145.037)*Table1123[[#This Row],[b (mm)]]*Table1123[[#This Row],[d (mm)]]*(1/25.4)^2)</f>
        <v>1.4409716719750616</v>
      </c>
      <c r="W53" s="8">
        <f>Table1123[[#This Row],[M (KN.mm)]]/$G$56</f>
        <v>0.73702830188679247</v>
      </c>
      <c r="X53" s="8">
        <f>E53*224.8/(2*SQRT(Table1123[[#This Row],[fc (Mpa)]]*145.037)*Table1123[[#This Row],[b (mm)]]*Table1123[[#This Row],[d (mm)]]*(1/25.4)^2+Table1123[[#This Row],[Av fy d/s (N)]]*0.2248)</f>
        <v>0.93977703457352468</v>
      </c>
      <c r="Y53" s="15">
        <v>0.57399999999999995</v>
      </c>
      <c r="Z53" s="8">
        <f>Table1123[[#This Row],[Av fy/(b S) (Mpa)]]*Table1123[[#This Row],[d (mm)]]*Table1123[[#This Row],[b (mm)]]</f>
        <v>115658.12999999998</v>
      </c>
      <c r="AA53" s="8">
        <f>Table1123[[#This Row],[d (mm)]]/175</f>
        <v>1.6285714285714286</v>
      </c>
      <c r="AB53" s="8">
        <f>Table1123[[#This Row],[a/d]]*Table1123[[#This Row],[d]]</f>
        <v>1040.25</v>
      </c>
      <c r="AC53" s="8">
        <f>Table1123[[#This Row],[d]]</f>
        <v>285</v>
      </c>
      <c r="AD53" s="15">
        <v>355</v>
      </c>
      <c r="AE53" s="15">
        <v>707</v>
      </c>
      <c r="AF53" s="15">
        <v>42</v>
      </c>
      <c r="AG53" s="8">
        <f>Table1123[[#This Row],[pho (%)]]/100*Table1123[[#This Row],[b (mm)]]*Table1123[[#This Row],[d (mm)]]</f>
        <v>3506.0129999999995</v>
      </c>
      <c r="AH53" s="15">
        <v>1.74</v>
      </c>
      <c r="AI53" s="8">
        <v>465</v>
      </c>
      <c r="AJ53" s="8">
        <f>(1/3-0.21*(MIN(Table1123[[#This Row],[b (mm)]],AD53)/MAX(Table1123[[#This Row],[b (mm)]],AD53))*(MIN(Table1123[[#This Row],[b (mm)]],AD53)^4/(12*MAX(Table1123[[#This Row],[b (mm)]],AD53)^4)))*MAX(Table1123[[#This Row],[b (mm)]],AD53)*MIN(Table1123[[#This Row],[b (mm)]],AD53)^3</f>
        <v>10525793548.690298</v>
      </c>
      <c r="AK53" s="8">
        <f>Table1123[[#This Row],[b (mm)]]*AD53^3/12</f>
        <v>2635865385.4166665</v>
      </c>
      <c r="AL53" s="15">
        <v>2080</v>
      </c>
      <c r="AM53" s="1"/>
      <c r="AN53" s="1"/>
    </row>
    <row r="54" spans="1:43" x14ac:dyDescent="0.25">
      <c r="A54" s="31" t="s">
        <v>114</v>
      </c>
      <c r="B54" s="15">
        <v>8</v>
      </c>
      <c r="C54" s="3">
        <v>53</v>
      </c>
      <c r="D54" s="15">
        <v>3.65</v>
      </c>
      <c r="E54" s="15">
        <v>349.5</v>
      </c>
      <c r="F54" s="15">
        <v>285</v>
      </c>
      <c r="G54" s="8">
        <f t="shared" si="24"/>
        <v>363567.375</v>
      </c>
      <c r="H54" s="8">
        <f t="shared" si="25"/>
        <v>5.2371980277849803E-6</v>
      </c>
      <c r="I54" s="8">
        <f>G54/(Table1123[[#This Row],[b (mm)]]*AC54^2)</f>
        <v>6.3310503982729098E-3</v>
      </c>
      <c r="J54" s="8">
        <f t="shared" si="26"/>
        <v>0.78248058315077385</v>
      </c>
      <c r="K54" s="8">
        <f t="shared" si="27"/>
        <v>1.0574569220762074E-6</v>
      </c>
      <c r="L54" s="8">
        <f>E54/(Table1123[[#This Row],[b (mm)]]*AC54)</f>
        <v>1.7345343556912083E-3</v>
      </c>
      <c r="M54" s="8">
        <f>Table1123[[#This Row],[M (KN.mm)]]/(Table1123[[#This Row],[b (mm)]]*Table1123[[#This Row],[d (mm)]])</f>
        <v>1.8043493635077794</v>
      </c>
      <c r="N54" s="8">
        <f>Table1123[[#This Row],[M (KN.mm)]]/(Table1123[[#This Row],[b (mm)]]*Table1123[[#This Row],[h (mm)]])</f>
        <v>1.4485621650696257</v>
      </c>
      <c r="O54" s="8">
        <f>Table1123[[#This Row],[M (KN.mm)]]/(Table1123[[#This Row],[b (mm)]]*Table1123[[#This Row],[h (mm)]]*Table1123[[#This Row],[L(mm)]])</f>
        <v>6.9642411782193543E-4</v>
      </c>
      <c r="P54" s="8">
        <f>Table1123[[#This Row],[M (KN.mm)]]/(Table1123[[#This Row],[b (mm)]]*Table1123[[#This Row],[d (mm)]]*Table1123[[#This Row],[L(mm)]])</f>
        <v>8.6747565553258626E-4</v>
      </c>
      <c r="Q54" s="8">
        <f>Table1123[[#This Row],[M (KN.mm)]]/(Table1123[[#This Row],[b (mm)]]*Table1123[[#This Row],[h (mm)]]*Table1123[[#This Row],[L(mm)]]*Table1123[[#This Row],[fc (Mpa)]])</f>
        <v>1.6581526614807987E-5</v>
      </c>
      <c r="R54" s="8">
        <f>Table1123[[#This Row],[M (KN.mm)]]/(Table1123[[#This Row],[b (mm)]]*Table1123[[#This Row],[h (mm)]]*Table1123[[#This Row],[L(mm)]]/2)</f>
        <v>1.3928482356438709E-3</v>
      </c>
      <c r="S54" s="8">
        <f>Table1123[[#This Row],[M (KN.mm)]]/(Table1123[[#This Row],[a (mm)]]*Table1123[[#This Row],[b (mm)]]*Table1123[[#This Row],[h (mm)]]*Table1123[[#This Row],[L(mm)]]/2)</f>
        <v>1.3389552854062685E-6</v>
      </c>
      <c r="T54" s="8">
        <f>G54/($AN$5*AK54*0.001*Table1123[[#This Row],[pho (%)]])</f>
        <v>3.0098839240143567E-6</v>
      </c>
      <c r="U54" s="8">
        <f>Table1123[[#This Row],[M (KN.mm)]]/(Table1123[[#This Row],[b (mm)]]*Table1123[[#This Row],[d (mm)]]*Table1123[[#This Row],[pho (%)]])</f>
        <v>1.0369823928205628</v>
      </c>
      <c r="V54" s="8">
        <f>E54*224.8/(2*SQRT(Table1123[[#This Row],[fc (Mpa)]]*145.037)*Table1123[[#This Row],[b (mm)]]*Table1123[[#This Row],[d (mm)]]*(1/25.4)^2)</f>
        <v>1.6115827179369089</v>
      </c>
      <c r="W54" s="8">
        <f>Table1123[[#This Row],[M (KN.mm)]]/$G$56</f>
        <v>0.8242924528301887</v>
      </c>
      <c r="X54" s="8">
        <f>E54*224.8/(2*SQRT(Table1123[[#This Row],[fc (Mpa)]]*145.037)*Table1123[[#This Row],[b (mm)]]*Table1123[[#This Row],[d (mm)]]*(1/25.4)^2+Table1123[[#This Row],[Av fy d/s (N)]]*0.2248)</f>
        <v>1.05104663546703</v>
      </c>
      <c r="Y54" s="15">
        <v>0.57399999999999995</v>
      </c>
      <c r="Z54" s="8">
        <f>Table1123[[#This Row],[Av fy/(b S) (Mpa)]]*Table1123[[#This Row],[d (mm)]]*Table1123[[#This Row],[b (mm)]]</f>
        <v>115658.12999999998</v>
      </c>
      <c r="AA54" s="8">
        <f>Table1123[[#This Row],[d (mm)]]/175</f>
        <v>1.6285714285714286</v>
      </c>
      <c r="AB54" s="8">
        <f>Table1123[[#This Row],[a/d]]*Table1123[[#This Row],[d]]</f>
        <v>1040.25</v>
      </c>
      <c r="AC54" s="8">
        <f>Table1123[[#This Row],[d]]</f>
        <v>285</v>
      </c>
      <c r="AD54" s="15">
        <v>355</v>
      </c>
      <c r="AE54" s="15">
        <v>707</v>
      </c>
      <c r="AF54" s="15">
        <v>42</v>
      </c>
      <c r="AG54" s="8">
        <f>Table1123[[#This Row],[pho (%)]]/100*Table1123[[#This Row],[b (mm)]]*Table1123[[#This Row],[d (mm)]]</f>
        <v>3506.0129999999995</v>
      </c>
      <c r="AH54" s="15">
        <v>1.74</v>
      </c>
      <c r="AI54" s="8">
        <v>465</v>
      </c>
      <c r="AJ54" s="8">
        <f>(1/3-0.21*(MIN(Table1123[[#This Row],[b (mm)]],AD54)/MAX(Table1123[[#This Row],[b (mm)]],AD54))*(MIN(Table1123[[#This Row],[b (mm)]],AD54)^4/(12*MAX(Table1123[[#This Row],[b (mm)]],AD54)^4)))*MAX(Table1123[[#This Row],[b (mm)]],AD54)*MIN(Table1123[[#This Row],[b (mm)]],AD54)^3</f>
        <v>10525793548.690298</v>
      </c>
      <c r="AK54" s="8">
        <f>Table1123[[#This Row],[b (mm)]]*AD54^3/12</f>
        <v>2635865385.4166665</v>
      </c>
      <c r="AL54" s="15">
        <v>2080</v>
      </c>
      <c r="AM54" s="1"/>
      <c r="AN54" s="1"/>
    </row>
    <row r="55" spans="1:43" x14ac:dyDescent="0.25">
      <c r="A55" s="31" t="s">
        <v>114</v>
      </c>
      <c r="B55" s="15">
        <v>9</v>
      </c>
      <c r="C55" s="3">
        <v>54</v>
      </c>
      <c r="D55" s="15">
        <v>3.65</v>
      </c>
      <c r="E55" s="15">
        <v>387.5</v>
      </c>
      <c r="F55" s="15">
        <v>285</v>
      </c>
      <c r="G55" s="8">
        <f t="shared" si="24"/>
        <v>403096.875</v>
      </c>
      <c r="H55" s="8">
        <f t="shared" si="25"/>
        <v>5.8066215615641767E-6</v>
      </c>
      <c r="I55" s="8">
        <f>G55/(Table1123[[#This Row],[b (mm)]]*AC55^2)</f>
        <v>7.0194049480135981E-3</v>
      </c>
      <c r="J55" s="8">
        <f t="shared" si="26"/>
        <v>0.86755715585386228</v>
      </c>
      <c r="K55" s="8">
        <f t="shared" si="27"/>
        <v>1.1724307791259811E-6</v>
      </c>
      <c r="L55" s="8">
        <f>E55/(Table1123[[#This Row],[b (mm)]]*AC55)</f>
        <v>1.9231246432913967E-3</v>
      </c>
      <c r="M55" s="8">
        <f>Table1123[[#This Row],[M (KN.mm)]]/(Table1123[[#This Row],[b (mm)]]*Table1123[[#This Row],[d (mm)]])</f>
        <v>2.0005304101838757</v>
      </c>
      <c r="N55" s="8">
        <f>Table1123[[#This Row],[M (KN.mm)]]/(Table1123[[#This Row],[b (mm)]]*Table1123[[#This Row],[h (mm)]])</f>
        <v>1.6060596250771959</v>
      </c>
      <c r="O55" s="8">
        <f>Table1123[[#This Row],[M (KN.mm)]]/(Table1123[[#This Row],[b (mm)]]*Table1123[[#This Row],[h (mm)]]*Table1123[[#This Row],[L(mm)]])</f>
        <v>7.7214405051788263E-4</v>
      </c>
      <c r="P55" s="8">
        <f>Table1123[[#This Row],[M (KN.mm)]]/(Table1123[[#This Row],[b (mm)]]*Table1123[[#This Row],[d (mm)]]*Table1123[[#This Row],[L(mm)]])</f>
        <v>9.6179346643455554E-4</v>
      </c>
      <c r="Q55" s="8">
        <f>Table1123[[#This Row],[M (KN.mm)]]/(Table1123[[#This Row],[b (mm)]]*Table1123[[#This Row],[h (mm)]]*Table1123[[#This Row],[L(mm)]]*Table1123[[#This Row],[fc (Mpa)]])</f>
        <v>1.8384382155187682E-5</v>
      </c>
      <c r="R55" s="8">
        <f>Table1123[[#This Row],[M (KN.mm)]]/(Table1123[[#This Row],[b (mm)]]*Table1123[[#This Row],[h (mm)]]*Table1123[[#This Row],[L(mm)]]/2)</f>
        <v>1.5442881010357653E-3</v>
      </c>
      <c r="S55" s="8">
        <f>Table1123[[#This Row],[M (KN.mm)]]/(Table1123[[#This Row],[a (mm)]]*Table1123[[#This Row],[b (mm)]]*Table1123[[#This Row],[h (mm)]]*Table1123[[#This Row],[L(mm)]]/2)</f>
        <v>1.4845355453359915E-6</v>
      </c>
      <c r="T55" s="8">
        <f>G55/($AN$5*AK55*0.001*Table1123[[#This Row],[pho (%)]])</f>
        <v>3.3371388284851593E-6</v>
      </c>
      <c r="U55" s="8">
        <f>Table1123[[#This Row],[M (KN.mm)]]/(Table1123[[#This Row],[b (mm)]]*Table1123[[#This Row],[d (mm)]]*Table1123[[#This Row],[pho (%)]])</f>
        <v>1.1497301207953308</v>
      </c>
      <c r="V55" s="8">
        <f>E55*224.8/(2*SQRT(Table1123[[#This Row],[fc (Mpa)]]*145.037)*Table1123[[#This Row],[b (mm)]]*Table1123[[#This Row],[d (mm)]]*(1/25.4)^2)</f>
        <v>1.7868048732490762</v>
      </c>
      <c r="W55" s="8">
        <f>Table1123[[#This Row],[M (KN.mm)]]/$G$56</f>
        <v>0.91391509433962259</v>
      </c>
      <c r="X55" s="8">
        <f>E55*224.8/(2*SQRT(Table1123[[#This Row],[fc (Mpa)]]*145.037)*Table1123[[#This Row],[b (mm)]]*Table1123[[#This Row],[d (mm)]]*(1/25.4)^2+Table1123[[#This Row],[Av fy d/s (N)]]*0.2248)</f>
        <v>1.1653235228711707</v>
      </c>
      <c r="Y55" s="15">
        <v>0.57399999999999995</v>
      </c>
      <c r="Z55" s="8">
        <f>Table1123[[#This Row],[Av fy/(b S) (Mpa)]]*Table1123[[#This Row],[d (mm)]]*Table1123[[#This Row],[b (mm)]]</f>
        <v>115658.12999999998</v>
      </c>
      <c r="AA55" s="8">
        <f>Table1123[[#This Row],[d (mm)]]/175</f>
        <v>1.6285714285714286</v>
      </c>
      <c r="AB55" s="8">
        <f>Table1123[[#This Row],[a/d]]*Table1123[[#This Row],[d]]</f>
        <v>1040.25</v>
      </c>
      <c r="AC55" s="8">
        <f>Table1123[[#This Row],[d]]</f>
        <v>285</v>
      </c>
      <c r="AD55" s="15">
        <v>355</v>
      </c>
      <c r="AE55" s="15">
        <v>707</v>
      </c>
      <c r="AF55" s="15">
        <v>42</v>
      </c>
      <c r="AG55" s="8">
        <f>Table1123[[#This Row],[pho (%)]]/100*Table1123[[#This Row],[b (mm)]]*Table1123[[#This Row],[d (mm)]]</f>
        <v>3506.0129999999995</v>
      </c>
      <c r="AH55" s="15">
        <v>1.74</v>
      </c>
      <c r="AI55" s="8">
        <v>465</v>
      </c>
      <c r="AJ55" s="8">
        <f>(1/3-0.21*(MIN(Table1123[[#This Row],[b (mm)]],AD55)/MAX(Table1123[[#This Row],[b (mm)]],AD55))*(MIN(Table1123[[#This Row],[b (mm)]],AD55)^4/(12*MAX(Table1123[[#This Row],[b (mm)]],AD55)^4)))*MAX(Table1123[[#This Row],[b (mm)]],AD55)*MIN(Table1123[[#This Row],[b (mm)]],AD55)^3</f>
        <v>10525793548.690298</v>
      </c>
      <c r="AK55" s="8">
        <f>Table1123[[#This Row],[b (mm)]]*AD55^3/12</f>
        <v>2635865385.4166665</v>
      </c>
      <c r="AL55" s="15">
        <v>2080</v>
      </c>
      <c r="AM55" s="1"/>
      <c r="AN55" s="1"/>
    </row>
    <row r="56" spans="1:43" x14ac:dyDescent="0.25">
      <c r="A56" s="31" t="s">
        <v>114</v>
      </c>
      <c r="B56" s="15">
        <v>10</v>
      </c>
      <c r="C56" s="3">
        <v>55</v>
      </c>
      <c r="D56" s="15">
        <v>3.65</v>
      </c>
      <c r="E56" s="15">
        <v>424</v>
      </c>
      <c r="F56" s="15">
        <v>285</v>
      </c>
      <c r="G56" s="8">
        <f t="shared" si="24"/>
        <v>441066</v>
      </c>
      <c r="H56" s="8">
        <f t="shared" si="25"/>
        <v>6.3535678505889315E-6</v>
      </c>
      <c r="I56" s="8">
        <f>G56/(Table1123[[#This Row],[b (mm)]]*AC56^2)</f>
        <v>7.680587607632944E-3</v>
      </c>
      <c r="J56" s="8">
        <f t="shared" si="26"/>
        <v>0.9492754427923551</v>
      </c>
      <c r="K56" s="8">
        <f t="shared" si="27"/>
        <v>1.2828661944501057E-6</v>
      </c>
      <c r="L56" s="8">
        <f>E56/(Table1123[[#This Row],[b (mm)]]*AC56)</f>
        <v>2.1042705774336834E-3</v>
      </c>
      <c r="M56" s="8">
        <f>Table1123[[#This Row],[M (KN.mm)]]/(Table1123[[#This Row],[b (mm)]]*Table1123[[#This Row],[d (mm)]])</f>
        <v>2.188967468175389</v>
      </c>
      <c r="N56" s="8">
        <f>Table1123[[#This Row],[M (KN.mm)]]/(Table1123[[#This Row],[b (mm)]]*Table1123[[#This Row],[h (mm)]])</f>
        <v>1.7573400800844672</v>
      </c>
      <c r="O56" s="8">
        <f>Table1123[[#This Row],[M (KN.mm)]]/(Table1123[[#This Row],[b (mm)]]*Table1123[[#This Row],[h (mm)]]*Table1123[[#This Row],[L(mm)]])</f>
        <v>8.4487503850214768E-4</v>
      </c>
      <c r="P56" s="8">
        <f>Table1123[[#This Row],[M (KN.mm)]]/(Table1123[[#This Row],[b (mm)]]*Table1123[[#This Row],[d (mm)]]*Table1123[[#This Row],[L(mm)]])</f>
        <v>1.0523882058535523E-3</v>
      </c>
      <c r="Q56" s="8">
        <f>Table1123[[#This Row],[M (KN.mm)]]/(Table1123[[#This Row],[b (mm)]]*Table1123[[#This Row],[h (mm)]]*Table1123[[#This Row],[L(mm)]]*Table1123[[#This Row],[fc (Mpa)]])</f>
        <v>2.0116072345289229E-5</v>
      </c>
      <c r="R56" s="8">
        <f>Table1123[[#This Row],[M (KN.mm)]]/(Table1123[[#This Row],[b (mm)]]*Table1123[[#This Row],[h (mm)]]*Table1123[[#This Row],[L(mm)]]/2)</f>
        <v>1.6897500770042954E-3</v>
      </c>
      <c r="S56" s="8">
        <f>Table1123[[#This Row],[M (KN.mm)]]/(Table1123[[#This Row],[a (mm)]]*Table1123[[#This Row],[b (mm)]]*Table1123[[#This Row],[h (mm)]]*Table1123[[#This Row],[L(mm)]]/2)</f>
        <v>1.6243692160579625E-6</v>
      </c>
      <c r="T56" s="8">
        <f>G56/($AN$5*AK56*0.001*Table1123[[#This Row],[pho (%)]])</f>
        <v>3.6514757762005358E-6</v>
      </c>
      <c r="U56" s="8">
        <f>Table1123[[#This Row],[M (KN.mm)]]/(Table1123[[#This Row],[b (mm)]]*Table1123[[#This Row],[d (mm)]]*Table1123[[#This Row],[pho (%)]])</f>
        <v>1.2580272805605683</v>
      </c>
      <c r="V56" s="8">
        <f>E56*224.8/(2*SQRT(Table1123[[#This Row],[fc (Mpa)]]*145.037)*Table1123[[#This Row],[b (mm)]]*Table1123[[#This Row],[d (mm)]]*(1/25.4)^2)</f>
        <v>1.9551103645357637</v>
      </c>
      <c r="W56" s="8">
        <f>Table1123[[#This Row],[M (KN.mm)]]/$G$56</f>
        <v>1</v>
      </c>
      <c r="X56" s="8">
        <f>E56*224.8/(2*SQRT(Table1123[[#This Row],[fc (Mpa)]]*145.037)*Table1123[[#This Row],[b (mm)]]*Table1123[[#This Row],[d (mm)]]*(1/25.4)^2+Table1123[[#This Row],[Av fy d/s (N)]]*0.2248)</f>
        <v>1.2750894805093584</v>
      </c>
      <c r="Y56" s="15">
        <v>0.57399999999999995</v>
      </c>
      <c r="Z56" s="8">
        <f>Table1123[[#This Row],[Av fy/(b S) (Mpa)]]*Table1123[[#This Row],[d (mm)]]*Table1123[[#This Row],[b (mm)]]</f>
        <v>115658.12999999998</v>
      </c>
      <c r="AA56" s="8">
        <f>Table1123[[#This Row],[d (mm)]]/175</f>
        <v>1.6285714285714286</v>
      </c>
      <c r="AB56" s="8">
        <f>Table1123[[#This Row],[a/d]]*Table1123[[#This Row],[d]]</f>
        <v>1040.25</v>
      </c>
      <c r="AC56" s="8">
        <f>Table1123[[#This Row],[d]]</f>
        <v>285</v>
      </c>
      <c r="AD56" s="15">
        <v>355</v>
      </c>
      <c r="AE56" s="15">
        <v>707</v>
      </c>
      <c r="AF56" s="15">
        <v>42</v>
      </c>
      <c r="AG56" s="8">
        <f>Table1123[[#This Row],[pho (%)]]/100*Table1123[[#This Row],[b (mm)]]*Table1123[[#This Row],[d (mm)]]</f>
        <v>3506.0129999999995</v>
      </c>
      <c r="AH56" s="15">
        <v>1.74</v>
      </c>
      <c r="AI56" s="8">
        <v>465</v>
      </c>
      <c r="AJ56" s="8">
        <f>(1/3-0.21*(MIN(Table1123[[#This Row],[b (mm)]],AD56)/MAX(Table1123[[#This Row],[b (mm)]],AD56))*(MIN(Table1123[[#This Row],[b (mm)]],AD56)^4/(12*MAX(Table1123[[#This Row],[b (mm)]],AD56)^4)))*MAX(Table1123[[#This Row],[b (mm)]],AD56)*MIN(Table1123[[#This Row],[b (mm)]],AD56)^3</f>
        <v>10525793548.690298</v>
      </c>
      <c r="AK56" s="8">
        <f>Table1123[[#This Row],[b (mm)]]*AD56^3/12</f>
        <v>2635865385.4166665</v>
      </c>
      <c r="AL56" s="15">
        <v>2080</v>
      </c>
      <c r="AM56" s="1"/>
      <c r="AN56" s="1"/>
    </row>
    <row r="57" spans="1:43" x14ac:dyDescent="0.25">
      <c r="A57" s="32" t="s">
        <v>115</v>
      </c>
      <c r="B57" s="15">
        <v>1</v>
      </c>
      <c r="C57" s="3">
        <v>56</v>
      </c>
      <c r="D57" s="15">
        <v>3.65</v>
      </c>
      <c r="E57" s="15">
        <v>50</v>
      </c>
      <c r="F57" s="15">
        <v>285</v>
      </c>
      <c r="G57" s="8">
        <f t="shared" ref="G57:G65" si="28">E57*AB57</f>
        <v>52012.5</v>
      </c>
      <c r="H57" s="8">
        <f t="shared" ref="H57:H65" si="29">G57/($AN$5*AK57*0.001)</f>
        <v>7.5890219872924918E-7</v>
      </c>
      <c r="I57" s="8">
        <f>G57/(Table1123[[#This Row],[b (mm)]]*AC57^2)</f>
        <v>9.1740813351430148E-4</v>
      </c>
      <c r="J57" s="8">
        <f t="shared" ref="J57:J65" si="30">G57/(AG57*AI57*AC57*0.001)</f>
        <v>0.11209776802471913</v>
      </c>
      <c r="K57" s="8">
        <f t="shared" ref="K57:K65" si="31">E57/($AN$4*AJ57*0.001)</f>
        <v>1.5324902764314297E-7</v>
      </c>
      <c r="L57" s="8">
        <f>E57/(Table1123[[#This Row],[b (mm)]]*AC57)</f>
        <v>2.5134469411350726E-4</v>
      </c>
      <c r="M57" s="8">
        <f>Table1123[[#This Row],[M (KN.mm)]]/(Table1123[[#This Row],[b (mm)]]*Table1123[[#This Row],[d (mm)]])</f>
        <v>0.26146131805157591</v>
      </c>
      <c r="N57" s="8">
        <f>Table1123[[#This Row],[M (KN.mm)]]/(Table1123[[#This Row],[b (mm)]]*Table1123[[#This Row],[h (mm)]])</f>
        <v>0.2099055651963356</v>
      </c>
      <c r="O57" s="8">
        <f>Table1123[[#This Row],[M (KN.mm)]]/(Table1123[[#This Row],[b (mm)]]*Table1123[[#This Row],[h (mm)]]*Table1123[[#This Row],[L(mm)]])</f>
        <v>1.0091613711362289E-4</v>
      </c>
      <c r="P57" s="8">
        <f>Table1123[[#This Row],[M (KN.mm)]]/(Table1123[[#This Row],[b (mm)]]*Table1123[[#This Row],[d (mm)]]*Table1123[[#This Row],[L(mm)]])</f>
        <v>1.2570255675556534E-4</v>
      </c>
      <c r="Q57" s="8">
        <f>Table1123[[#This Row],[M (KN.mm)]]/(Table1123[[#This Row],[b (mm)]]*Table1123[[#This Row],[h (mm)]]*Table1123[[#This Row],[L(mm)]]*Table1123[[#This Row],[fc (Mpa)]])</f>
        <v>2.4027651693719735E-6</v>
      </c>
      <c r="R57" s="8">
        <f>Table1123[[#This Row],[M (KN.mm)]]/(Table1123[[#This Row],[b (mm)]]*Table1123[[#This Row],[h (mm)]]*Table1123[[#This Row],[L(mm)]]/2)</f>
        <v>2.0183227422724577E-4</v>
      </c>
      <c r="S57" s="8">
        <f>Table1123[[#This Row],[M (KN.mm)]]/(Table1123[[#This Row],[a (mm)]]*Table1123[[#This Row],[b (mm)]]*Table1123[[#This Row],[h (mm)]]*Table1123[[#This Row],[L(mm)]]/2)</f>
        <v>1.9402285434005841E-7</v>
      </c>
      <c r="T57" s="8">
        <f>G57/($AN$5*AK57*0.001*Table1123[[#This Row],[pho (%)]])</f>
        <v>4.311944310961643E-7</v>
      </c>
      <c r="U57" s="8">
        <f>Table1123[[#This Row],[M (KN.mm)]]/(Table1123[[#This Row],[b (mm)]]*Table1123[[#This Row],[d (mm)]]*Table1123[[#This Row],[pho (%)]])</f>
        <v>0.14855756707475906</v>
      </c>
      <c r="V57" s="8">
        <f>E57*224.8/(2*SQRT(Table1123[[#This Row],[fc (Mpa)]]*145.037)*Table1123[[#This Row],[b (mm)]]*Table1123[[#This Row],[d (mm)]]*(1/25.4)^2)</f>
        <v>0.233528245750457</v>
      </c>
      <c r="W57" s="8">
        <f>Table1123[[#This Row],[M (KN.mm)]]/$G$65</f>
        <v>0.12919896640826872</v>
      </c>
      <c r="X57" s="8">
        <f>E57*224.8/(2*SQRT(Table1123[[#This Row],[fc (Mpa)]]*145.037)*Table1123[[#This Row],[b (mm)]]*Table1123[[#This Row],[d (mm)]]*(1/25.4)^2+Table1123[[#This Row],[Av fy d/s (N)]]*0.2248)</f>
        <v>0.15676783724040924</v>
      </c>
      <c r="Y57" s="15">
        <v>0.52700000000000002</v>
      </c>
      <c r="Z57" s="8">
        <f>Table1123[[#This Row],[Av fy/(b S) (Mpa)]]*Table1123[[#This Row],[d (mm)]]*Table1123[[#This Row],[b (mm)]]</f>
        <v>104836.11</v>
      </c>
      <c r="AA57" s="8">
        <f>Table1123[[#This Row],[d (mm)]]/175</f>
        <v>1.6285714285714286</v>
      </c>
      <c r="AB57" s="8">
        <f>Table1123[[#This Row],[a/d]]*Table1123[[#This Row],[d]]</f>
        <v>1040.25</v>
      </c>
      <c r="AC57" s="8">
        <f>Table1123[[#This Row],[d]]</f>
        <v>285</v>
      </c>
      <c r="AD57" s="15">
        <v>355</v>
      </c>
      <c r="AE57" s="15">
        <v>698</v>
      </c>
      <c r="AF57" s="15">
        <v>42</v>
      </c>
      <c r="AG57" s="8">
        <f>Table1123[[#This Row],[pho (%)]]/100*Table1123[[#This Row],[b (mm)]]*Table1123[[#This Row],[d (mm)]]</f>
        <v>3501.1680000000001</v>
      </c>
      <c r="AH57" s="15">
        <v>1.76</v>
      </c>
      <c r="AI57" s="8">
        <v>465</v>
      </c>
      <c r="AJ57" s="8">
        <f>(1/3-0.21*(MIN(Table1123[[#This Row],[b (mm)]],AD57)/MAX(Table1123[[#This Row],[b (mm)]],AD57))*(MIN(Table1123[[#This Row],[b (mm)]],AD57)^4/(12*MAX(Table1123[[#This Row],[b (mm)]],AD57)^4)))*MAX(Table1123[[#This Row],[b (mm)]],AD57)*MIN(Table1123[[#This Row],[b (mm)]],AD57)^3</f>
        <v>10390647904.181585</v>
      </c>
      <c r="AK57" s="8">
        <f>Table1123[[#This Row],[b (mm)]]*AD57^3/12</f>
        <v>2602311229.1666665</v>
      </c>
      <c r="AL57" s="15">
        <v>2080</v>
      </c>
      <c r="AM57" s="1"/>
      <c r="AN57" s="1"/>
    </row>
    <row r="58" spans="1:43" x14ac:dyDescent="0.25">
      <c r="A58" s="32" t="s">
        <v>115</v>
      </c>
      <c r="B58" s="15">
        <v>2</v>
      </c>
      <c r="C58" s="3">
        <v>57</v>
      </c>
      <c r="D58" s="15">
        <v>3.65</v>
      </c>
      <c r="E58" s="15">
        <v>99.5</v>
      </c>
      <c r="F58" s="15">
        <v>285</v>
      </c>
      <c r="G58" s="8">
        <f t="shared" si="28"/>
        <v>103504.875</v>
      </c>
      <c r="H58" s="8">
        <f t="shared" si="29"/>
        <v>1.5102153754712058E-6</v>
      </c>
      <c r="I58" s="8">
        <f>G58/(Table1123[[#This Row],[b (mm)]]*AC58^2)</f>
        <v>1.8256421856934601E-3</v>
      </c>
      <c r="J58" s="8">
        <f t="shared" si="30"/>
        <v>0.22307455836919107</v>
      </c>
      <c r="K58" s="8">
        <f t="shared" si="31"/>
        <v>3.049655650098545E-7</v>
      </c>
      <c r="L58" s="8">
        <f>E58/(Table1123[[#This Row],[b (mm)]]*AC58)</f>
        <v>5.0017594128587948E-4</v>
      </c>
      <c r="M58" s="8">
        <f>Table1123[[#This Row],[M (KN.mm)]]/(Table1123[[#This Row],[b (mm)]]*Table1123[[#This Row],[d (mm)]])</f>
        <v>0.52030802292263612</v>
      </c>
      <c r="N58" s="8">
        <f>Table1123[[#This Row],[M (KN.mm)]]/(Table1123[[#This Row],[b (mm)]]*Table1123[[#This Row],[h (mm)]])</f>
        <v>0.41771207474070787</v>
      </c>
      <c r="O58" s="8">
        <f>Table1123[[#This Row],[M (KN.mm)]]/(Table1123[[#This Row],[b (mm)]]*Table1123[[#This Row],[h (mm)]]*Table1123[[#This Row],[L(mm)]])</f>
        <v>2.0082311285610953E-4</v>
      </c>
      <c r="P58" s="8">
        <f>Table1123[[#This Row],[M (KN.mm)]]/(Table1123[[#This Row],[b (mm)]]*Table1123[[#This Row],[d (mm)]]*Table1123[[#This Row],[L(mm)]])</f>
        <v>2.5014808794357506E-4</v>
      </c>
      <c r="Q58" s="8">
        <f>Table1123[[#This Row],[M (KN.mm)]]/(Table1123[[#This Row],[b (mm)]]*Table1123[[#This Row],[h (mm)]]*Table1123[[#This Row],[L(mm)]]*Table1123[[#This Row],[fc (Mpa)]])</f>
        <v>4.7815026870502273E-6</v>
      </c>
      <c r="R58" s="8">
        <f>Table1123[[#This Row],[M (KN.mm)]]/(Table1123[[#This Row],[b (mm)]]*Table1123[[#This Row],[h (mm)]]*Table1123[[#This Row],[L(mm)]]/2)</f>
        <v>4.0164622571221907E-4</v>
      </c>
      <c r="S58" s="8">
        <f>Table1123[[#This Row],[M (KN.mm)]]/(Table1123[[#This Row],[a (mm)]]*Table1123[[#This Row],[b (mm)]]*Table1123[[#This Row],[h (mm)]]*Table1123[[#This Row],[L(mm)]]/2)</f>
        <v>3.8610548013671628E-7</v>
      </c>
      <c r="T58" s="8">
        <f>G58/($AN$5*AK58*0.001*Table1123[[#This Row],[pho (%)]])</f>
        <v>8.580769178813669E-7</v>
      </c>
      <c r="U58" s="8">
        <f>Table1123[[#This Row],[M (KN.mm)]]/(Table1123[[#This Row],[b (mm)]]*Table1123[[#This Row],[d (mm)]]*Table1123[[#This Row],[pho (%)]])</f>
        <v>0.29562955847877054</v>
      </c>
      <c r="V58" s="8">
        <f>E58*224.8/(2*SQRT(Table1123[[#This Row],[fc (Mpa)]]*145.037)*Table1123[[#This Row],[b (mm)]]*Table1123[[#This Row],[d (mm)]]*(1/25.4)^2)</f>
        <v>0.46472120904340947</v>
      </c>
      <c r="W58" s="8">
        <f>Table1123[[#This Row],[M (KN.mm)]]/$G$65</f>
        <v>0.25710594315245477</v>
      </c>
      <c r="X58" s="8">
        <f>E58*224.8/(2*SQRT(Table1123[[#This Row],[fc (Mpa)]]*145.037)*Table1123[[#This Row],[b (mm)]]*Table1123[[#This Row],[d (mm)]]*(1/25.4)^2+Table1123[[#This Row],[Av fy d/s (N)]]*0.2248)</f>
        <v>0.31196799610841441</v>
      </c>
      <c r="Y58" s="15">
        <v>0.52700000000000002</v>
      </c>
      <c r="Z58" s="8">
        <f>Table1123[[#This Row],[Av fy/(b S) (Mpa)]]*Table1123[[#This Row],[d (mm)]]*Table1123[[#This Row],[b (mm)]]</f>
        <v>104836.11</v>
      </c>
      <c r="AA58" s="8">
        <f>Table1123[[#This Row],[d (mm)]]/175</f>
        <v>1.6285714285714286</v>
      </c>
      <c r="AB58" s="8">
        <f>Table1123[[#This Row],[a/d]]*Table1123[[#This Row],[d]]</f>
        <v>1040.25</v>
      </c>
      <c r="AC58" s="8">
        <f>Table1123[[#This Row],[d]]</f>
        <v>285</v>
      </c>
      <c r="AD58" s="15">
        <v>355</v>
      </c>
      <c r="AE58" s="15">
        <v>698</v>
      </c>
      <c r="AF58" s="15">
        <v>42</v>
      </c>
      <c r="AG58" s="8">
        <f>Table1123[[#This Row],[pho (%)]]/100*Table1123[[#This Row],[b (mm)]]*Table1123[[#This Row],[d (mm)]]</f>
        <v>3501.1680000000001</v>
      </c>
      <c r="AH58" s="15">
        <v>1.76</v>
      </c>
      <c r="AI58" s="8">
        <v>465</v>
      </c>
      <c r="AJ58" s="8">
        <f>(1/3-0.21*(MIN(Table1123[[#This Row],[b (mm)]],AD58)/MAX(Table1123[[#This Row],[b (mm)]],AD58))*(MIN(Table1123[[#This Row],[b (mm)]],AD58)^4/(12*MAX(Table1123[[#This Row],[b (mm)]],AD58)^4)))*MAX(Table1123[[#This Row],[b (mm)]],AD58)*MIN(Table1123[[#This Row],[b (mm)]],AD58)^3</f>
        <v>10390647904.181585</v>
      </c>
      <c r="AK58" s="8">
        <f>Table1123[[#This Row],[b (mm)]]*AD58^3/12</f>
        <v>2602311229.1666665</v>
      </c>
      <c r="AL58" s="15">
        <v>2080</v>
      </c>
      <c r="AM58" s="1"/>
      <c r="AN58" s="1"/>
    </row>
    <row r="59" spans="1:43" x14ac:dyDescent="0.25">
      <c r="A59" s="32" t="s">
        <v>115</v>
      </c>
      <c r="B59" s="15">
        <v>3</v>
      </c>
      <c r="C59" s="3">
        <v>58</v>
      </c>
      <c r="D59" s="15">
        <v>3.65</v>
      </c>
      <c r="E59" s="15">
        <v>149.5</v>
      </c>
      <c r="F59" s="15">
        <v>285</v>
      </c>
      <c r="G59" s="8">
        <f t="shared" si="28"/>
        <v>155517.375</v>
      </c>
      <c r="H59" s="8">
        <f t="shared" si="29"/>
        <v>2.269117574200455E-6</v>
      </c>
      <c r="I59" s="8">
        <f>G59/(Table1123[[#This Row],[b (mm)]]*AC59^2)</f>
        <v>2.7430503192077617E-3</v>
      </c>
      <c r="J59" s="8">
        <f t="shared" si="30"/>
        <v>0.3351723263939102</v>
      </c>
      <c r="K59" s="8">
        <f t="shared" si="31"/>
        <v>4.5821459265299745E-7</v>
      </c>
      <c r="L59" s="8">
        <f>E59/(Table1123[[#This Row],[b (mm)]]*AC59)</f>
        <v>7.5152063539938674E-4</v>
      </c>
      <c r="M59" s="8">
        <f>Table1123[[#This Row],[M (KN.mm)]]/(Table1123[[#This Row],[b (mm)]]*Table1123[[#This Row],[d (mm)]])</f>
        <v>0.78176934097421202</v>
      </c>
      <c r="N59" s="8">
        <f>Table1123[[#This Row],[M (KN.mm)]]/(Table1123[[#This Row],[b (mm)]]*Table1123[[#This Row],[h (mm)]])</f>
        <v>0.62761763993704345</v>
      </c>
      <c r="O59" s="8">
        <f>Table1123[[#This Row],[M (KN.mm)]]/(Table1123[[#This Row],[b (mm)]]*Table1123[[#This Row],[h (mm)]]*Table1123[[#This Row],[L(mm)]])</f>
        <v>3.0173924996973245E-4</v>
      </c>
      <c r="P59" s="8">
        <f>Table1123[[#This Row],[M (KN.mm)]]/(Table1123[[#This Row],[b (mm)]]*Table1123[[#This Row],[d (mm)]]*Table1123[[#This Row],[L(mm)]])</f>
        <v>3.7585064469914037E-4</v>
      </c>
      <c r="Q59" s="8">
        <f>Table1123[[#This Row],[M (KN.mm)]]/(Table1123[[#This Row],[b (mm)]]*Table1123[[#This Row],[h (mm)]]*Table1123[[#This Row],[L(mm)]]*Table1123[[#This Row],[fc (Mpa)]])</f>
        <v>7.1842678564222004E-6</v>
      </c>
      <c r="R59" s="8">
        <f>Table1123[[#This Row],[M (KN.mm)]]/(Table1123[[#This Row],[b (mm)]]*Table1123[[#This Row],[h (mm)]]*Table1123[[#This Row],[L(mm)]]/2)</f>
        <v>6.0347849993946489E-4</v>
      </c>
      <c r="S59" s="8">
        <f>Table1123[[#This Row],[M (KN.mm)]]/(Table1123[[#This Row],[a (mm)]]*Table1123[[#This Row],[b (mm)]]*Table1123[[#This Row],[h (mm)]]*Table1123[[#This Row],[L(mm)]]/2)</f>
        <v>5.8012833447677466E-7</v>
      </c>
      <c r="T59" s="8">
        <f>G59/($AN$5*AK59*0.001*Table1123[[#This Row],[pho (%)]])</f>
        <v>1.2892713489775312E-6</v>
      </c>
      <c r="U59" s="8">
        <f>Table1123[[#This Row],[M (KN.mm)]]/(Table1123[[#This Row],[b (mm)]]*Table1123[[#This Row],[d (mm)]]*Table1123[[#This Row],[pho (%)]])</f>
        <v>0.44418712555352957</v>
      </c>
      <c r="V59" s="8">
        <f>E59*224.8/(2*SQRT(Table1123[[#This Row],[fc (Mpa)]]*145.037)*Table1123[[#This Row],[b (mm)]]*Table1123[[#This Row],[d (mm)]]*(1/25.4)^2)</f>
        <v>0.69824945479386635</v>
      </c>
      <c r="W59" s="8">
        <f>Table1123[[#This Row],[M (KN.mm)]]/$G$65</f>
        <v>0.3863049095607235</v>
      </c>
      <c r="X59" s="8">
        <f>E59*224.8/(2*SQRT(Table1123[[#This Row],[fc (Mpa)]]*145.037)*Table1123[[#This Row],[b (mm)]]*Table1123[[#This Row],[d (mm)]]*(1/25.4)^2+Table1123[[#This Row],[Av fy d/s (N)]]*0.2248)</f>
        <v>0.46873583334882363</v>
      </c>
      <c r="Y59" s="15">
        <v>0.52700000000000002</v>
      </c>
      <c r="Z59" s="8">
        <f>Table1123[[#This Row],[Av fy/(b S) (Mpa)]]*Table1123[[#This Row],[d (mm)]]*Table1123[[#This Row],[b (mm)]]</f>
        <v>104836.11</v>
      </c>
      <c r="AA59" s="8">
        <f>Table1123[[#This Row],[d (mm)]]/175</f>
        <v>1.6285714285714286</v>
      </c>
      <c r="AB59" s="8">
        <f>Table1123[[#This Row],[a/d]]*Table1123[[#This Row],[d]]</f>
        <v>1040.25</v>
      </c>
      <c r="AC59" s="8">
        <f>Table1123[[#This Row],[d]]</f>
        <v>285</v>
      </c>
      <c r="AD59" s="15">
        <v>355</v>
      </c>
      <c r="AE59" s="15">
        <v>698</v>
      </c>
      <c r="AF59" s="15">
        <v>42</v>
      </c>
      <c r="AG59" s="8">
        <f>Table1123[[#This Row],[pho (%)]]/100*Table1123[[#This Row],[b (mm)]]*Table1123[[#This Row],[d (mm)]]</f>
        <v>3501.1680000000001</v>
      </c>
      <c r="AH59" s="15">
        <v>1.76</v>
      </c>
      <c r="AI59" s="8">
        <v>465</v>
      </c>
      <c r="AJ59" s="8">
        <f>(1/3-0.21*(MIN(Table1123[[#This Row],[b (mm)]],AD59)/MAX(Table1123[[#This Row],[b (mm)]],AD59))*(MIN(Table1123[[#This Row],[b (mm)]],AD59)^4/(12*MAX(Table1123[[#This Row],[b (mm)]],AD59)^4)))*MAX(Table1123[[#This Row],[b (mm)]],AD59)*MIN(Table1123[[#This Row],[b (mm)]],AD59)^3</f>
        <v>10390647904.181585</v>
      </c>
      <c r="AK59" s="8">
        <f>Table1123[[#This Row],[b (mm)]]*AD59^3/12</f>
        <v>2602311229.1666665</v>
      </c>
      <c r="AL59" s="15">
        <v>2080</v>
      </c>
      <c r="AM59" s="1"/>
      <c r="AN59" s="1"/>
    </row>
    <row r="60" spans="1:43" x14ac:dyDescent="0.25">
      <c r="A60" s="32" t="s">
        <v>115</v>
      </c>
      <c r="B60" s="15">
        <v>4</v>
      </c>
      <c r="C60" s="3">
        <v>59</v>
      </c>
      <c r="D60" s="15">
        <v>3.65</v>
      </c>
      <c r="E60" s="15">
        <v>199.5</v>
      </c>
      <c r="F60" s="15">
        <v>285</v>
      </c>
      <c r="G60" s="8">
        <f t="shared" si="28"/>
        <v>207529.875</v>
      </c>
      <c r="H60" s="8">
        <f t="shared" si="29"/>
        <v>3.0280197729297044E-6</v>
      </c>
      <c r="I60" s="8">
        <f>G60/(Table1123[[#This Row],[b (mm)]]*AC60^2)</f>
        <v>3.6604584527220631E-3</v>
      </c>
      <c r="J60" s="8">
        <f t="shared" si="30"/>
        <v>0.44727009441862936</v>
      </c>
      <c r="K60" s="8">
        <f t="shared" si="31"/>
        <v>6.1146362029614045E-7</v>
      </c>
      <c r="L60" s="8">
        <f>E60/(Table1123[[#This Row],[b (mm)]]*AC60)</f>
        <v>1.0028653295128939E-3</v>
      </c>
      <c r="M60" s="8">
        <f>Table1123[[#This Row],[M (KN.mm)]]/(Table1123[[#This Row],[b (mm)]]*Table1123[[#This Row],[d (mm)]])</f>
        <v>1.043230659025788</v>
      </c>
      <c r="N60" s="8">
        <f>Table1123[[#This Row],[M (KN.mm)]]/(Table1123[[#This Row],[b (mm)]]*Table1123[[#This Row],[h (mm)]])</f>
        <v>0.83752320513337908</v>
      </c>
      <c r="O60" s="8">
        <f>Table1123[[#This Row],[M (KN.mm)]]/(Table1123[[#This Row],[b (mm)]]*Table1123[[#This Row],[h (mm)]]*Table1123[[#This Row],[L(mm)]])</f>
        <v>4.026553870833553E-4</v>
      </c>
      <c r="P60" s="8">
        <f>Table1123[[#This Row],[M (KN.mm)]]/(Table1123[[#This Row],[b (mm)]]*Table1123[[#This Row],[d (mm)]]*Table1123[[#This Row],[L(mm)]])</f>
        <v>5.0155320145470574E-4</v>
      </c>
      <c r="Q60" s="8">
        <f>Table1123[[#This Row],[M (KN.mm)]]/(Table1123[[#This Row],[b (mm)]]*Table1123[[#This Row],[h (mm)]]*Table1123[[#This Row],[L(mm)]]*Table1123[[#This Row],[fc (Mpa)]])</f>
        <v>9.5870330257941744E-6</v>
      </c>
      <c r="R60" s="8">
        <f>Table1123[[#This Row],[M (KN.mm)]]/(Table1123[[#This Row],[b (mm)]]*Table1123[[#This Row],[h (mm)]]*Table1123[[#This Row],[L(mm)]]/2)</f>
        <v>8.0531077416671061E-4</v>
      </c>
      <c r="S60" s="8">
        <f>Table1123[[#This Row],[M (KN.mm)]]/(Table1123[[#This Row],[a (mm)]]*Table1123[[#This Row],[b (mm)]]*Table1123[[#This Row],[h (mm)]]*Table1123[[#This Row],[L(mm)]]/2)</f>
        <v>7.7415118881683315E-7</v>
      </c>
      <c r="T60" s="8">
        <f>G60/($AN$5*AK60*0.001*Table1123[[#This Row],[pho (%)]])</f>
        <v>1.7204657800736955E-6</v>
      </c>
      <c r="U60" s="8">
        <f>Table1123[[#This Row],[M (KN.mm)]]/(Table1123[[#This Row],[b (mm)]]*Table1123[[#This Row],[d (mm)]]*Table1123[[#This Row],[pho (%)]])</f>
        <v>0.59274469262828866</v>
      </c>
      <c r="V60" s="8">
        <f>E60*224.8/(2*SQRT(Table1123[[#This Row],[fc (Mpa)]]*145.037)*Table1123[[#This Row],[b (mm)]]*Table1123[[#This Row],[d (mm)]]*(1/25.4)^2)</f>
        <v>0.93177770054432352</v>
      </c>
      <c r="W60" s="8">
        <f>Table1123[[#This Row],[M (KN.mm)]]/$G$65</f>
        <v>0.51550387596899228</v>
      </c>
      <c r="X60" s="8">
        <f>E60*224.8/(2*SQRT(Table1123[[#This Row],[fc (Mpa)]]*145.037)*Table1123[[#This Row],[b (mm)]]*Table1123[[#This Row],[d (mm)]]*(1/25.4)^2+Table1123[[#This Row],[Av fy d/s (N)]]*0.2248)</f>
        <v>0.62550367058923295</v>
      </c>
      <c r="Y60" s="15">
        <v>0.52700000000000002</v>
      </c>
      <c r="Z60" s="8">
        <f>Table1123[[#This Row],[Av fy/(b S) (Mpa)]]*Table1123[[#This Row],[d (mm)]]*Table1123[[#This Row],[b (mm)]]</f>
        <v>104836.11</v>
      </c>
      <c r="AA60" s="8">
        <f>Table1123[[#This Row],[d (mm)]]/175</f>
        <v>1.6285714285714286</v>
      </c>
      <c r="AB60" s="8">
        <f>Table1123[[#This Row],[a/d]]*Table1123[[#This Row],[d]]</f>
        <v>1040.25</v>
      </c>
      <c r="AC60" s="8">
        <f>Table1123[[#This Row],[d]]</f>
        <v>285</v>
      </c>
      <c r="AD60" s="15">
        <v>355</v>
      </c>
      <c r="AE60" s="15">
        <v>698</v>
      </c>
      <c r="AF60" s="15">
        <v>42</v>
      </c>
      <c r="AG60" s="8">
        <f>Table1123[[#This Row],[pho (%)]]/100*Table1123[[#This Row],[b (mm)]]*Table1123[[#This Row],[d (mm)]]</f>
        <v>3501.1680000000001</v>
      </c>
      <c r="AH60" s="15">
        <v>1.76</v>
      </c>
      <c r="AI60" s="8">
        <v>465</v>
      </c>
      <c r="AJ60" s="8">
        <f>(1/3-0.21*(MIN(Table1123[[#This Row],[b (mm)]],AD60)/MAX(Table1123[[#This Row],[b (mm)]],AD60))*(MIN(Table1123[[#This Row],[b (mm)]],AD60)^4/(12*MAX(Table1123[[#This Row],[b (mm)]],AD60)^4)))*MAX(Table1123[[#This Row],[b (mm)]],AD60)*MIN(Table1123[[#This Row],[b (mm)]],AD60)^3</f>
        <v>10390647904.181585</v>
      </c>
      <c r="AK60" s="8">
        <f>Table1123[[#This Row],[b (mm)]]*AD60^3/12</f>
        <v>2602311229.1666665</v>
      </c>
      <c r="AL60" s="15">
        <v>2080</v>
      </c>
      <c r="AM60" s="1"/>
      <c r="AN60" s="1"/>
    </row>
    <row r="61" spans="1:43" x14ac:dyDescent="0.25">
      <c r="A61" s="32" t="s">
        <v>115</v>
      </c>
      <c r="B61" s="15">
        <v>5</v>
      </c>
      <c r="C61" s="3">
        <v>60</v>
      </c>
      <c r="D61" s="15">
        <v>3.65</v>
      </c>
      <c r="E61" s="15">
        <v>250</v>
      </c>
      <c r="F61" s="15">
        <v>285</v>
      </c>
      <c r="G61" s="8">
        <f t="shared" si="28"/>
        <v>260062.5</v>
      </c>
      <c r="H61" s="8">
        <f t="shared" si="29"/>
        <v>3.7945109936462461E-6</v>
      </c>
      <c r="I61" s="8">
        <f>G61/(Table1123[[#This Row],[b (mm)]]*AC61^2)</f>
        <v>4.5870406675715073E-3</v>
      </c>
      <c r="J61" s="8">
        <f t="shared" si="30"/>
        <v>0.56048884012359568</v>
      </c>
      <c r="K61" s="8">
        <f t="shared" si="31"/>
        <v>7.6624513821571485E-7</v>
      </c>
      <c r="L61" s="8">
        <f>E61/(Table1123[[#This Row],[b (mm)]]*AC61)</f>
        <v>1.2567234705675363E-3</v>
      </c>
      <c r="M61" s="8">
        <f>Table1123[[#This Row],[M (KN.mm)]]/(Table1123[[#This Row],[b (mm)]]*Table1123[[#This Row],[d (mm)]])</f>
        <v>1.3073065902578798</v>
      </c>
      <c r="N61" s="8">
        <f>Table1123[[#This Row],[M (KN.mm)]]/(Table1123[[#This Row],[b (mm)]]*Table1123[[#This Row],[h (mm)]])</f>
        <v>1.049527825981678</v>
      </c>
      <c r="O61" s="8">
        <f>Table1123[[#This Row],[M (KN.mm)]]/(Table1123[[#This Row],[b (mm)]]*Table1123[[#This Row],[h (mm)]]*Table1123[[#This Row],[L(mm)]])</f>
        <v>5.0458068556811445E-4</v>
      </c>
      <c r="P61" s="8">
        <f>Table1123[[#This Row],[M (KN.mm)]]/(Table1123[[#This Row],[b (mm)]]*Table1123[[#This Row],[d (mm)]]*Table1123[[#This Row],[L(mm)]])</f>
        <v>6.2851278377782673E-4</v>
      </c>
      <c r="Q61" s="8">
        <f>Table1123[[#This Row],[M (KN.mm)]]/(Table1123[[#This Row],[b (mm)]]*Table1123[[#This Row],[h (mm)]]*Table1123[[#This Row],[L(mm)]]*Table1123[[#This Row],[fc (Mpa)]])</f>
        <v>1.2013825846859868E-5</v>
      </c>
      <c r="R61" s="8">
        <f>Table1123[[#This Row],[M (KN.mm)]]/(Table1123[[#This Row],[b (mm)]]*Table1123[[#This Row],[h (mm)]]*Table1123[[#This Row],[L(mm)]]/2)</f>
        <v>1.0091613711362289E-3</v>
      </c>
      <c r="S61" s="8">
        <f>Table1123[[#This Row],[M (KN.mm)]]/(Table1123[[#This Row],[a (mm)]]*Table1123[[#This Row],[b (mm)]]*Table1123[[#This Row],[h (mm)]]*Table1123[[#This Row],[L(mm)]]/2)</f>
        <v>9.7011427170029214E-7</v>
      </c>
      <c r="T61" s="8">
        <f>G61/($AN$5*AK61*0.001*Table1123[[#This Row],[pho (%)]])</f>
        <v>2.1559721554808213E-6</v>
      </c>
      <c r="U61" s="8">
        <f>Table1123[[#This Row],[M (KN.mm)]]/(Table1123[[#This Row],[b (mm)]]*Table1123[[#This Row],[d (mm)]]*Table1123[[#This Row],[pho (%)]])</f>
        <v>0.74278783537379534</v>
      </c>
      <c r="V61" s="8">
        <f>E61*224.8/(2*SQRT(Table1123[[#This Row],[fc (Mpa)]]*145.037)*Table1123[[#This Row],[b (mm)]]*Table1123[[#This Row],[d (mm)]]*(1/25.4)^2)</f>
        <v>1.167641228752285</v>
      </c>
      <c r="W61" s="8">
        <f>Table1123[[#This Row],[M (KN.mm)]]/$G$65</f>
        <v>0.64599483204134367</v>
      </c>
      <c r="X61" s="8">
        <f>E61*224.8/(2*SQRT(Table1123[[#This Row],[fc (Mpa)]]*145.037)*Table1123[[#This Row],[b (mm)]]*Table1123[[#This Row],[d (mm)]]*(1/25.4)^2+Table1123[[#This Row],[Av fy d/s (N)]]*0.2248)</f>
        <v>0.78383918620204618</v>
      </c>
      <c r="Y61" s="15">
        <v>0.52700000000000002</v>
      </c>
      <c r="Z61" s="8">
        <f>Table1123[[#This Row],[Av fy/(b S) (Mpa)]]*Table1123[[#This Row],[d (mm)]]*Table1123[[#This Row],[b (mm)]]</f>
        <v>104836.11</v>
      </c>
      <c r="AA61" s="8">
        <f>Table1123[[#This Row],[d (mm)]]/175</f>
        <v>1.6285714285714286</v>
      </c>
      <c r="AB61" s="8">
        <f>Table1123[[#This Row],[a/d]]*Table1123[[#This Row],[d]]</f>
        <v>1040.25</v>
      </c>
      <c r="AC61" s="8">
        <f>Table1123[[#This Row],[d]]</f>
        <v>285</v>
      </c>
      <c r="AD61" s="15">
        <v>355</v>
      </c>
      <c r="AE61" s="15">
        <v>698</v>
      </c>
      <c r="AF61" s="15">
        <v>42</v>
      </c>
      <c r="AG61" s="8">
        <f>Table1123[[#This Row],[pho (%)]]/100*Table1123[[#This Row],[b (mm)]]*Table1123[[#This Row],[d (mm)]]</f>
        <v>3501.1680000000001</v>
      </c>
      <c r="AH61" s="15">
        <v>1.76</v>
      </c>
      <c r="AI61" s="8">
        <v>465</v>
      </c>
      <c r="AJ61" s="8">
        <f>(1/3-0.21*(MIN(Table1123[[#This Row],[b (mm)]],AD61)/MAX(Table1123[[#This Row],[b (mm)]],AD61))*(MIN(Table1123[[#This Row],[b (mm)]],AD61)^4/(12*MAX(Table1123[[#This Row],[b (mm)]],AD61)^4)))*MAX(Table1123[[#This Row],[b (mm)]],AD61)*MIN(Table1123[[#This Row],[b (mm)]],AD61)^3</f>
        <v>10390647904.181585</v>
      </c>
      <c r="AK61" s="8">
        <f>Table1123[[#This Row],[b (mm)]]*AD61^3/12</f>
        <v>2602311229.1666665</v>
      </c>
      <c r="AL61" s="15">
        <v>2080</v>
      </c>
      <c r="AM61" s="1"/>
      <c r="AN61" s="1"/>
    </row>
    <row r="62" spans="1:43" x14ac:dyDescent="0.25">
      <c r="A62" s="32" t="s">
        <v>115</v>
      </c>
      <c r="B62" s="15">
        <v>6</v>
      </c>
      <c r="C62" s="3">
        <v>61</v>
      </c>
      <c r="D62" s="15">
        <v>3.65</v>
      </c>
      <c r="E62" s="15">
        <v>274.5</v>
      </c>
      <c r="F62" s="15">
        <v>285</v>
      </c>
      <c r="G62" s="8">
        <f t="shared" si="28"/>
        <v>285548.625</v>
      </c>
      <c r="H62" s="8">
        <f t="shared" si="29"/>
        <v>4.1663730710235779E-6</v>
      </c>
      <c r="I62" s="8">
        <f>G62/(Table1123[[#This Row],[b (mm)]]*AC62^2)</f>
        <v>5.0365706529935149E-3</v>
      </c>
      <c r="J62" s="8">
        <f t="shared" si="30"/>
        <v>0.6154167464557081</v>
      </c>
      <c r="K62" s="8">
        <f t="shared" si="31"/>
        <v>8.4133716176085488E-7</v>
      </c>
      <c r="L62" s="8">
        <f>E62/(Table1123[[#This Row],[b (mm)]]*AC62)</f>
        <v>1.3798823706831548E-3</v>
      </c>
      <c r="M62" s="8">
        <f>Table1123[[#This Row],[M (KN.mm)]]/(Table1123[[#This Row],[b (mm)]]*Table1123[[#This Row],[d (mm)]])</f>
        <v>1.4354226361031519</v>
      </c>
      <c r="N62" s="8">
        <f>Table1123[[#This Row],[M (KN.mm)]]/(Table1123[[#This Row],[b (mm)]]*Table1123[[#This Row],[h (mm)]])</f>
        <v>1.1523815529278825</v>
      </c>
      <c r="O62" s="8">
        <f>Table1123[[#This Row],[M (KN.mm)]]/(Table1123[[#This Row],[b (mm)]]*Table1123[[#This Row],[h (mm)]]*Table1123[[#This Row],[L(mm)]])</f>
        <v>5.5402959275378967E-4</v>
      </c>
      <c r="P62" s="8">
        <f>Table1123[[#This Row],[M (KN.mm)]]/(Table1123[[#This Row],[b (mm)]]*Table1123[[#This Row],[d (mm)]]*Table1123[[#This Row],[L(mm)]])</f>
        <v>6.9010703658805379E-4</v>
      </c>
      <c r="Q62" s="8">
        <f>Table1123[[#This Row],[M (KN.mm)]]/(Table1123[[#This Row],[b (mm)]]*Table1123[[#This Row],[h (mm)]]*Table1123[[#This Row],[L(mm)]]*Table1123[[#This Row],[fc (Mpa)]])</f>
        <v>1.3191180779852135E-5</v>
      </c>
      <c r="R62" s="8">
        <f>Table1123[[#This Row],[M (KN.mm)]]/(Table1123[[#This Row],[b (mm)]]*Table1123[[#This Row],[h (mm)]]*Table1123[[#This Row],[L(mm)]]/2)</f>
        <v>1.1080591855075793E-3</v>
      </c>
      <c r="S62" s="8">
        <f>Table1123[[#This Row],[M (KN.mm)]]/(Table1123[[#This Row],[a (mm)]]*Table1123[[#This Row],[b (mm)]]*Table1123[[#This Row],[h (mm)]]*Table1123[[#This Row],[L(mm)]]/2)</f>
        <v>1.0651854703269208E-6</v>
      </c>
      <c r="T62" s="8">
        <f>G62/($AN$5*AK62*0.001*Table1123[[#This Row],[pho (%)]])</f>
        <v>2.3672574267179419E-6</v>
      </c>
      <c r="U62" s="8">
        <f>Table1123[[#This Row],[M (KN.mm)]]/(Table1123[[#This Row],[b (mm)]]*Table1123[[#This Row],[d (mm)]]*Table1123[[#This Row],[pho (%)]])</f>
        <v>0.81558104324042724</v>
      </c>
      <c r="V62" s="8">
        <f>E62*224.8/(2*SQRT(Table1123[[#This Row],[fc (Mpa)]]*145.037)*Table1123[[#This Row],[b (mm)]]*Table1123[[#This Row],[d (mm)]]*(1/25.4)^2)</f>
        <v>1.2820700691700091</v>
      </c>
      <c r="W62" s="8">
        <f>Table1123[[#This Row],[M (KN.mm)]]/$G$65</f>
        <v>0.70930232558139539</v>
      </c>
      <c r="X62" s="8">
        <f>E62*224.8/(2*SQRT(Table1123[[#This Row],[fc (Mpa)]]*145.037)*Table1123[[#This Row],[b (mm)]]*Table1123[[#This Row],[d (mm)]]*(1/25.4)^2+Table1123[[#This Row],[Av fy d/s (N)]]*0.2248)</f>
        <v>0.86065542644984683</v>
      </c>
      <c r="Y62" s="15">
        <v>0.52700000000000002</v>
      </c>
      <c r="Z62" s="8">
        <f>Table1123[[#This Row],[Av fy/(b S) (Mpa)]]*Table1123[[#This Row],[d (mm)]]*Table1123[[#This Row],[b (mm)]]</f>
        <v>104836.11</v>
      </c>
      <c r="AA62" s="8">
        <f>Table1123[[#This Row],[d (mm)]]/175</f>
        <v>1.6285714285714286</v>
      </c>
      <c r="AB62" s="8">
        <f>Table1123[[#This Row],[a/d]]*Table1123[[#This Row],[d]]</f>
        <v>1040.25</v>
      </c>
      <c r="AC62" s="8">
        <f>Table1123[[#This Row],[d]]</f>
        <v>285</v>
      </c>
      <c r="AD62" s="15">
        <v>355</v>
      </c>
      <c r="AE62" s="15">
        <v>698</v>
      </c>
      <c r="AF62" s="15">
        <v>42</v>
      </c>
      <c r="AG62" s="8">
        <f>Table1123[[#This Row],[pho (%)]]/100*Table1123[[#This Row],[b (mm)]]*Table1123[[#This Row],[d (mm)]]</f>
        <v>3501.1680000000001</v>
      </c>
      <c r="AH62" s="15">
        <v>1.76</v>
      </c>
      <c r="AI62" s="8">
        <v>465</v>
      </c>
      <c r="AJ62" s="8">
        <f>(1/3-0.21*(MIN(Table1123[[#This Row],[b (mm)]],AD62)/MAX(Table1123[[#This Row],[b (mm)]],AD62))*(MIN(Table1123[[#This Row],[b (mm)]],AD62)^4/(12*MAX(Table1123[[#This Row],[b (mm)]],AD62)^4)))*MAX(Table1123[[#This Row],[b (mm)]],AD62)*MIN(Table1123[[#This Row],[b (mm)]],AD62)^3</f>
        <v>10390647904.181585</v>
      </c>
      <c r="AK62" s="8">
        <f>Table1123[[#This Row],[b (mm)]]*AD62^3/12</f>
        <v>2602311229.1666665</v>
      </c>
      <c r="AL62" s="15">
        <v>2080</v>
      </c>
      <c r="AM62" s="1"/>
      <c r="AN62" s="1"/>
    </row>
    <row r="63" spans="1:43" x14ac:dyDescent="0.25">
      <c r="A63" s="32" t="s">
        <v>115</v>
      </c>
      <c r="B63" s="15">
        <v>7</v>
      </c>
      <c r="C63" s="3">
        <v>62</v>
      </c>
      <c r="D63" s="15">
        <v>3.65</v>
      </c>
      <c r="E63" s="7">
        <v>312</v>
      </c>
      <c r="F63" s="15">
        <v>285</v>
      </c>
      <c r="G63" s="8">
        <f t="shared" si="28"/>
        <v>324558</v>
      </c>
      <c r="H63" s="8">
        <f t="shared" si="29"/>
        <v>4.7355497200705152E-6</v>
      </c>
      <c r="I63" s="8">
        <f>G63/(Table1123[[#This Row],[b (mm)]]*AC63^2)</f>
        <v>5.7246267531292413E-3</v>
      </c>
      <c r="J63" s="8">
        <f t="shared" si="30"/>
        <v>0.69949007247424744</v>
      </c>
      <c r="K63" s="8">
        <f t="shared" si="31"/>
        <v>9.5627393249321198E-7</v>
      </c>
      <c r="L63" s="8">
        <f>E63/(Table1123[[#This Row],[b (mm)]]*AC63)</f>
        <v>1.5683908912682853E-3</v>
      </c>
      <c r="M63" s="8">
        <f>Table1123[[#This Row],[M (KN.mm)]]/(Table1123[[#This Row],[b (mm)]]*Table1123[[#This Row],[d (mm)]])</f>
        <v>1.6315186246418338</v>
      </c>
      <c r="N63" s="8">
        <f>Table1123[[#This Row],[M (KN.mm)]]/(Table1123[[#This Row],[b (mm)]]*Table1123[[#This Row],[h (mm)]])</f>
        <v>1.3098107268251342</v>
      </c>
      <c r="O63" s="8">
        <f>Table1123[[#This Row],[M (KN.mm)]]/(Table1123[[#This Row],[b (mm)]]*Table1123[[#This Row],[h (mm)]]*Table1123[[#This Row],[L(mm)]])</f>
        <v>6.2971669558900686E-4</v>
      </c>
      <c r="P63" s="8">
        <f>Table1123[[#This Row],[M (KN.mm)]]/(Table1123[[#This Row],[b (mm)]]*Table1123[[#This Row],[d (mm)]]*Table1123[[#This Row],[L(mm)]])</f>
        <v>7.8438395415472782E-4</v>
      </c>
      <c r="Q63" s="8">
        <f>Table1123[[#This Row],[M (KN.mm)]]/(Table1123[[#This Row],[b (mm)]]*Table1123[[#This Row],[h (mm)]]*Table1123[[#This Row],[L(mm)]]*Table1123[[#This Row],[fc (Mpa)]])</f>
        <v>1.4993254656881115E-5</v>
      </c>
      <c r="R63" s="8">
        <f>Table1123[[#This Row],[M (KN.mm)]]/(Table1123[[#This Row],[b (mm)]]*Table1123[[#This Row],[h (mm)]]*Table1123[[#This Row],[L(mm)]]/2)</f>
        <v>1.2594333911780137E-3</v>
      </c>
      <c r="S63" s="8">
        <f>Table1123[[#This Row],[M (KN.mm)]]/(Table1123[[#This Row],[a (mm)]]*Table1123[[#This Row],[b (mm)]]*Table1123[[#This Row],[h (mm)]]*Table1123[[#This Row],[L(mm)]]/2)</f>
        <v>1.2107026110819646E-6</v>
      </c>
      <c r="T63" s="8">
        <f>G63/($AN$5*AK63*0.001*Table1123[[#This Row],[pho (%)]])</f>
        <v>2.690653250040065E-6</v>
      </c>
      <c r="U63" s="8">
        <f>Table1123[[#This Row],[M (KN.mm)]]/(Table1123[[#This Row],[b (mm)]]*Table1123[[#This Row],[d (mm)]]*Table1123[[#This Row],[pho (%)]])</f>
        <v>0.92699921854649647</v>
      </c>
      <c r="V63" s="8">
        <f>E63*224.8/(2*SQRT(Table1123[[#This Row],[fc (Mpa)]]*145.037)*Table1123[[#This Row],[b (mm)]]*Table1123[[#This Row],[d (mm)]]*(1/25.4)^2)</f>
        <v>1.4572162534828517</v>
      </c>
      <c r="W63" s="8">
        <f>Table1123[[#This Row],[M (KN.mm)]]/$G$65</f>
        <v>0.80620155038759689</v>
      </c>
      <c r="X63" s="8">
        <f>E63*224.8/(2*SQRT(Table1123[[#This Row],[fc (Mpa)]]*145.037)*Table1123[[#This Row],[b (mm)]]*Table1123[[#This Row],[d (mm)]]*(1/25.4)^2+Table1123[[#This Row],[Av fy d/s (N)]]*0.2248)</f>
        <v>0.97823130438015382</v>
      </c>
      <c r="Y63" s="15">
        <v>0.52700000000000002</v>
      </c>
      <c r="Z63" s="8">
        <f>Table1123[[#This Row],[Av fy/(b S) (Mpa)]]*Table1123[[#This Row],[d (mm)]]*Table1123[[#This Row],[b (mm)]]</f>
        <v>104836.11</v>
      </c>
      <c r="AA63" s="8">
        <f>Table1123[[#This Row],[d (mm)]]/175</f>
        <v>1.6285714285714286</v>
      </c>
      <c r="AB63" s="8">
        <f>Table1123[[#This Row],[a/d]]*Table1123[[#This Row],[d]]</f>
        <v>1040.25</v>
      </c>
      <c r="AC63" s="8">
        <f>Table1123[[#This Row],[d]]</f>
        <v>285</v>
      </c>
      <c r="AD63" s="15">
        <v>355</v>
      </c>
      <c r="AE63" s="15">
        <v>698</v>
      </c>
      <c r="AF63" s="15">
        <v>42</v>
      </c>
      <c r="AG63" s="8">
        <f>Table1123[[#This Row],[pho (%)]]/100*Table1123[[#This Row],[b (mm)]]*Table1123[[#This Row],[d (mm)]]</f>
        <v>3501.1680000000001</v>
      </c>
      <c r="AH63" s="15">
        <v>1.76</v>
      </c>
      <c r="AI63" s="8">
        <v>465</v>
      </c>
      <c r="AJ63" s="8">
        <f>(1/3-0.21*(MIN(Table1123[[#This Row],[b (mm)]],AD63)/MAX(Table1123[[#This Row],[b (mm)]],AD63))*(MIN(Table1123[[#This Row],[b (mm)]],AD63)^4/(12*MAX(Table1123[[#This Row],[b (mm)]],AD63)^4)))*MAX(Table1123[[#This Row],[b (mm)]],AD63)*MIN(Table1123[[#This Row],[b (mm)]],AD63)^3</f>
        <v>10390647904.181585</v>
      </c>
      <c r="AK63" s="8">
        <f>Table1123[[#This Row],[b (mm)]]*AD63^3/12</f>
        <v>2602311229.1666665</v>
      </c>
      <c r="AL63" s="15">
        <v>2080</v>
      </c>
      <c r="AM63" s="1"/>
      <c r="AN63" s="1"/>
      <c r="AQ63" s="1"/>
    </row>
    <row r="64" spans="1:43" x14ac:dyDescent="0.25">
      <c r="A64" s="32" t="s">
        <v>115</v>
      </c>
      <c r="B64" s="15">
        <v>8</v>
      </c>
      <c r="C64" s="3">
        <v>63</v>
      </c>
      <c r="D64" s="15">
        <v>3.65</v>
      </c>
      <c r="E64" s="7">
        <v>350</v>
      </c>
      <c r="F64" s="15">
        <v>285</v>
      </c>
      <c r="G64" s="8">
        <f t="shared" si="28"/>
        <v>364087.5</v>
      </c>
      <c r="H64" s="8">
        <f t="shared" si="29"/>
        <v>5.3123153911047445E-6</v>
      </c>
      <c r="I64" s="8">
        <f>G64/(Table1123[[#This Row],[b (mm)]]*AC64^2)</f>
        <v>6.4218569346001109E-3</v>
      </c>
      <c r="J64" s="8">
        <f t="shared" si="30"/>
        <v>0.78468437617303399</v>
      </c>
      <c r="K64" s="8">
        <f t="shared" si="31"/>
        <v>1.0727431935020006E-6</v>
      </c>
      <c r="L64" s="8">
        <f>E64/(Table1123[[#This Row],[b (mm)]]*AC64)</f>
        <v>1.7594128587945508E-3</v>
      </c>
      <c r="M64" s="8">
        <f>Table1123[[#This Row],[M (KN.mm)]]/(Table1123[[#This Row],[b (mm)]]*Table1123[[#This Row],[d (mm)]])</f>
        <v>1.8302292263610316</v>
      </c>
      <c r="N64" s="8">
        <f>Table1123[[#This Row],[M (KN.mm)]]/(Table1123[[#This Row],[b (mm)]]*Table1123[[#This Row],[h (mm)]])</f>
        <v>1.4693389563743493</v>
      </c>
      <c r="O64" s="8">
        <f>Table1123[[#This Row],[M (KN.mm)]]/(Table1123[[#This Row],[b (mm)]]*Table1123[[#This Row],[h (mm)]]*Table1123[[#This Row],[L(mm)]])</f>
        <v>7.0641295979536017E-4</v>
      </c>
      <c r="P64" s="8">
        <f>Table1123[[#This Row],[M (KN.mm)]]/(Table1123[[#This Row],[b (mm)]]*Table1123[[#This Row],[d (mm)]]*Table1123[[#This Row],[L(mm)]])</f>
        <v>8.7991789728895746E-4</v>
      </c>
      <c r="Q64" s="8">
        <f>Table1123[[#This Row],[M (KN.mm)]]/(Table1123[[#This Row],[b (mm)]]*Table1123[[#This Row],[h (mm)]]*Table1123[[#This Row],[L(mm)]]*Table1123[[#This Row],[fc (Mpa)]])</f>
        <v>1.6819356185603814E-5</v>
      </c>
      <c r="R64" s="8">
        <f>Table1123[[#This Row],[M (KN.mm)]]/(Table1123[[#This Row],[b (mm)]]*Table1123[[#This Row],[h (mm)]]*Table1123[[#This Row],[L(mm)]]/2)</f>
        <v>1.4128259195907203E-3</v>
      </c>
      <c r="S64" s="8">
        <f>Table1123[[#This Row],[M (KN.mm)]]/(Table1123[[#This Row],[a (mm)]]*Table1123[[#This Row],[b (mm)]]*Table1123[[#This Row],[h (mm)]]*Table1123[[#This Row],[L(mm)]]/2)</f>
        <v>1.3581599803804089E-6</v>
      </c>
      <c r="T64" s="8">
        <f>G64/($AN$5*AK64*0.001*Table1123[[#This Row],[pho (%)]])</f>
        <v>3.0183610176731499E-6</v>
      </c>
      <c r="U64" s="8">
        <f>Table1123[[#This Row],[M (KN.mm)]]/(Table1123[[#This Row],[b (mm)]]*Table1123[[#This Row],[d (mm)]]*Table1123[[#This Row],[pho (%)]])</f>
        <v>1.0399029695233133</v>
      </c>
      <c r="V64" s="8">
        <f>E64*224.8/(2*SQRT(Table1123[[#This Row],[fc (Mpa)]]*145.037)*Table1123[[#This Row],[b (mm)]]*Table1123[[#This Row],[d (mm)]]*(1/25.4)^2)</f>
        <v>1.6346977202531989</v>
      </c>
      <c r="W64" s="8">
        <f>Table1123[[#This Row],[M (KN.mm)]]/$G$65</f>
        <v>0.90439276485788112</v>
      </c>
      <c r="X64" s="8">
        <f>E64*224.8/(2*SQRT(Table1123[[#This Row],[fc (Mpa)]]*145.037)*Table1123[[#This Row],[b (mm)]]*Table1123[[#This Row],[d (mm)]]*(1/25.4)^2+Table1123[[#This Row],[Av fy d/s (N)]]*0.2248)</f>
        <v>1.0973748606828648</v>
      </c>
      <c r="Y64" s="15">
        <v>0.52700000000000002</v>
      </c>
      <c r="Z64" s="8">
        <f>Table1123[[#This Row],[Av fy/(b S) (Mpa)]]*Table1123[[#This Row],[d (mm)]]*Table1123[[#This Row],[b (mm)]]</f>
        <v>104836.11</v>
      </c>
      <c r="AA64" s="8">
        <f>Table1123[[#This Row],[d (mm)]]/175</f>
        <v>1.6285714285714286</v>
      </c>
      <c r="AB64" s="8">
        <f>Table1123[[#This Row],[a/d]]*Table1123[[#This Row],[d]]</f>
        <v>1040.25</v>
      </c>
      <c r="AC64" s="8">
        <f>Table1123[[#This Row],[d]]</f>
        <v>285</v>
      </c>
      <c r="AD64" s="15">
        <v>355</v>
      </c>
      <c r="AE64" s="15">
        <v>698</v>
      </c>
      <c r="AF64" s="15">
        <v>42</v>
      </c>
      <c r="AG64" s="8">
        <f>Table1123[[#This Row],[pho (%)]]/100*Table1123[[#This Row],[b (mm)]]*Table1123[[#This Row],[d (mm)]]</f>
        <v>3501.1680000000001</v>
      </c>
      <c r="AH64" s="15">
        <v>1.76</v>
      </c>
      <c r="AI64" s="8">
        <v>465</v>
      </c>
      <c r="AJ64" s="8">
        <f>(1/3-0.21*(MIN(Table1123[[#This Row],[b (mm)]],AD64)/MAX(Table1123[[#This Row],[b (mm)]],AD64))*(MIN(Table1123[[#This Row],[b (mm)]],AD64)^4/(12*MAX(Table1123[[#This Row],[b (mm)]],AD64)^4)))*MAX(Table1123[[#This Row],[b (mm)]],AD64)*MIN(Table1123[[#This Row],[b (mm)]],AD64)^3</f>
        <v>10390647904.181585</v>
      </c>
      <c r="AK64" s="8">
        <f>Table1123[[#This Row],[b (mm)]]*AD64^3/12</f>
        <v>2602311229.1666665</v>
      </c>
      <c r="AL64" s="15">
        <v>2080</v>
      </c>
      <c r="AM64" s="1"/>
      <c r="AN64" s="1"/>
      <c r="AQ64" s="1"/>
    </row>
    <row r="65" spans="1:43" x14ac:dyDescent="0.25">
      <c r="A65" s="32" t="s">
        <v>115</v>
      </c>
      <c r="B65" s="15">
        <v>9</v>
      </c>
      <c r="C65" s="3">
        <v>64</v>
      </c>
      <c r="D65" s="15">
        <v>3.65</v>
      </c>
      <c r="E65" s="7">
        <v>387</v>
      </c>
      <c r="F65" s="15">
        <v>285</v>
      </c>
      <c r="G65" s="8">
        <f t="shared" si="28"/>
        <v>402576.75</v>
      </c>
      <c r="H65" s="8">
        <f t="shared" si="29"/>
        <v>5.8739030181643891E-6</v>
      </c>
      <c r="I65" s="8">
        <f>G65/(Table1123[[#This Row],[b (mm)]]*AC65^2)</f>
        <v>7.100738953400694E-3</v>
      </c>
      <c r="J65" s="8">
        <f t="shared" si="30"/>
        <v>0.86763672451132612</v>
      </c>
      <c r="K65" s="8">
        <f t="shared" si="31"/>
        <v>1.1861474739579266E-6</v>
      </c>
      <c r="L65" s="8">
        <f>E65/(Table1123[[#This Row],[b (mm)]]*AC65)</f>
        <v>1.9454079324385462E-3</v>
      </c>
      <c r="M65" s="8">
        <f>Table1123[[#This Row],[M (KN.mm)]]/(Table1123[[#This Row],[b (mm)]]*Table1123[[#This Row],[d (mm)]])</f>
        <v>2.0237106017191979</v>
      </c>
      <c r="N65" s="8">
        <f>Table1123[[#This Row],[M (KN.mm)]]/(Table1123[[#This Row],[b (mm)]]*Table1123[[#This Row],[h (mm)]])</f>
        <v>1.6246690746196375</v>
      </c>
      <c r="O65" s="8">
        <f>Table1123[[#This Row],[M (KN.mm)]]/(Table1123[[#This Row],[b (mm)]]*Table1123[[#This Row],[h (mm)]]*Table1123[[#This Row],[L(mm)]])</f>
        <v>7.8109090125944112E-4</v>
      </c>
      <c r="P65" s="8">
        <f>Table1123[[#This Row],[M (KN.mm)]]/(Table1123[[#This Row],[b (mm)]]*Table1123[[#This Row],[d (mm)]]*Table1123[[#This Row],[L(mm)]])</f>
        <v>9.7293778928807587E-4</v>
      </c>
      <c r="Q65" s="8">
        <f>Table1123[[#This Row],[M (KN.mm)]]/(Table1123[[#This Row],[b (mm)]]*Table1123[[#This Row],[h (mm)]]*Table1123[[#This Row],[L(mm)]]*Table1123[[#This Row],[fc (Mpa)]])</f>
        <v>1.8597402410939076E-5</v>
      </c>
      <c r="R65" s="8">
        <f>Table1123[[#This Row],[M (KN.mm)]]/(Table1123[[#This Row],[b (mm)]]*Table1123[[#This Row],[h (mm)]]*Table1123[[#This Row],[L(mm)]]/2)</f>
        <v>1.5621818025188822E-3</v>
      </c>
      <c r="S65" s="8">
        <f>Table1123[[#This Row],[M (KN.mm)]]/(Table1123[[#This Row],[a (mm)]]*Table1123[[#This Row],[b (mm)]]*Table1123[[#This Row],[h (mm)]]*Table1123[[#This Row],[L(mm)]]/2)</f>
        <v>1.5017368925920523E-6</v>
      </c>
      <c r="T65" s="8">
        <f>G65/($AN$5*AK65*0.001*Table1123[[#This Row],[pho (%)]])</f>
        <v>3.3374448966843118E-6</v>
      </c>
      <c r="U65" s="8">
        <f>Table1123[[#This Row],[M (KN.mm)]]/(Table1123[[#This Row],[b (mm)]]*Table1123[[#This Row],[d (mm)]]*Table1123[[#This Row],[pho (%)]])</f>
        <v>1.1498355691586351</v>
      </c>
      <c r="V65" s="8">
        <f>E65*224.8/(2*SQRT(Table1123[[#This Row],[fc (Mpa)]]*145.037)*Table1123[[#This Row],[b (mm)]]*Table1123[[#This Row],[d (mm)]]*(1/25.4)^2)</f>
        <v>1.8075086221085372</v>
      </c>
      <c r="W65" s="8">
        <f>Table1123[[#This Row],[M (KN.mm)]]/$G$65</f>
        <v>1</v>
      </c>
      <c r="X65" s="8">
        <f>E65*224.8/(2*SQRT(Table1123[[#This Row],[fc (Mpa)]]*145.037)*Table1123[[#This Row],[b (mm)]]*Table1123[[#This Row],[d (mm)]]*(1/25.4)^2+Table1123[[#This Row],[Av fy d/s (N)]]*0.2248)</f>
        <v>1.2133830602407676</v>
      </c>
      <c r="Y65" s="15">
        <v>0.52700000000000002</v>
      </c>
      <c r="Z65" s="8">
        <f>Table1123[[#This Row],[Av fy/(b S) (Mpa)]]*Table1123[[#This Row],[d (mm)]]*Table1123[[#This Row],[b (mm)]]</f>
        <v>104836.11</v>
      </c>
      <c r="AA65" s="8">
        <f>Table1123[[#This Row],[d (mm)]]/175</f>
        <v>1.6285714285714286</v>
      </c>
      <c r="AB65" s="8">
        <f>Table1123[[#This Row],[a/d]]*Table1123[[#This Row],[d]]</f>
        <v>1040.25</v>
      </c>
      <c r="AC65" s="8">
        <f>Table1123[[#This Row],[d]]</f>
        <v>285</v>
      </c>
      <c r="AD65" s="15">
        <v>355</v>
      </c>
      <c r="AE65" s="15">
        <v>698</v>
      </c>
      <c r="AF65" s="15">
        <v>42</v>
      </c>
      <c r="AG65" s="8">
        <f>Table1123[[#This Row],[pho (%)]]/100*Table1123[[#This Row],[b (mm)]]*Table1123[[#This Row],[d (mm)]]</f>
        <v>3501.1680000000001</v>
      </c>
      <c r="AH65" s="15">
        <v>1.76</v>
      </c>
      <c r="AI65" s="8">
        <v>465</v>
      </c>
      <c r="AJ65" s="8">
        <f>(1/3-0.21*(MIN(Table1123[[#This Row],[b (mm)]],AD65)/MAX(Table1123[[#This Row],[b (mm)]],AD65))*(MIN(Table1123[[#This Row],[b (mm)]],AD65)^4/(12*MAX(Table1123[[#This Row],[b (mm)]],AD65)^4)))*MAX(Table1123[[#This Row],[b (mm)]],AD65)*MIN(Table1123[[#This Row],[b (mm)]],AD65)^3</f>
        <v>10390647904.181585</v>
      </c>
      <c r="AK65" s="8">
        <f>Table1123[[#This Row],[b (mm)]]*AD65^3/12</f>
        <v>2602311229.1666665</v>
      </c>
      <c r="AL65" s="15">
        <v>2080</v>
      </c>
      <c r="AM65" s="1"/>
      <c r="AN65" s="1"/>
      <c r="AQ65" s="1"/>
    </row>
    <row r="66" spans="1:43" x14ac:dyDescent="0.25">
      <c r="A66" s="61" t="s">
        <v>116</v>
      </c>
      <c r="B66" s="7">
        <v>1</v>
      </c>
      <c r="C66" s="3">
        <v>65</v>
      </c>
      <c r="D66" s="15">
        <v>3.67</v>
      </c>
      <c r="E66" s="15">
        <v>50</v>
      </c>
      <c r="F66" s="15">
        <v>283</v>
      </c>
      <c r="G66" s="8">
        <f t="shared" ref="G66:G73" si="32">E66*AB66</f>
        <v>51930.499999999993</v>
      </c>
      <c r="H66" s="8">
        <f t="shared" ref="H66:H73" si="33">G66/($AN$5*AK66*0.001)</f>
        <v>9.1933879999256958E-7</v>
      </c>
      <c r="I66" s="8">
        <f>G66/(Table1123[[#This Row],[b (mm)]]*AC66^2)</f>
        <v>9.3028679195542724E-4</v>
      </c>
      <c r="J66" s="8">
        <f t="shared" ref="J66:J73" si="34">G66/(AG66*AI66*AC66*0.001)</f>
        <v>0.11302919530471139</v>
      </c>
      <c r="K66" s="8">
        <f t="shared" ref="K66:K73" si="35">E66/($AN$4*AJ66*0.001)</f>
        <v>1.8585063500108377E-7</v>
      </c>
      <c r="L66" s="8">
        <f>E66/(Table1123[[#This Row],[b (mm)]]*AC66)</f>
        <v>2.5348413949739167E-4</v>
      </c>
      <c r="M66" s="8">
        <f>Table1123[[#This Row],[M (KN.mm)]]/(Table1123[[#This Row],[b (mm)]]*Table1123[[#This Row],[d (mm)]])</f>
        <v>0.26327116212338592</v>
      </c>
      <c r="N66" s="8">
        <f>Table1123[[#This Row],[M (KN.mm)]]/(Table1123[[#This Row],[b (mm)]]*Table1123[[#This Row],[h (mm)]])</f>
        <v>0.22374095760035498</v>
      </c>
      <c r="O66" s="8">
        <f>Table1123[[#This Row],[M (KN.mm)]]/(Table1123[[#This Row],[b (mm)]]*Table1123[[#This Row],[h (mm)]]*Table1123[[#This Row],[L(mm)]])</f>
        <v>1.0756776807709374E-4</v>
      </c>
      <c r="P66" s="8">
        <f>Table1123[[#This Row],[M (KN.mm)]]/(Table1123[[#This Row],[b (mm)]]*Table1123[[#This Row],[d (mm)]]*Table1123[[#This Row],[L(mm)]])</f>
        <v>1.2657267409778167E-4</v>
      </c>
      <c r="Q66" s="8">
        <f>Table1123[[#This Row],[M (KN.mm)]]/(Table1123[[#This Row],[b (mm)]]*Table1123[[#This Row],[h (mm)]]*Table1123[[#This Row],[L(mm)]]*Table1123[[#This Row],[fc (Mpa)]])</f>
        <v>2.6236040994413108E-6</v>
      </c>
      <c r="R66" s="8">
        <f>Table1123[[#This Row],[M (KN.mm)]]/(Table1123[[#This Row],[b (mm)]]*Table1123[[#This Row],[h (mm)]]*Table1123[[#This Row],[L(mm)]]/2)</f>
        <v>2.1513553615418749E-4</v>
      </c>
      <c r="S66" s="8">
        <f>Table1123[[#This Row],[M (KN.mm)]]/(Table1123[[#This Row],[a (mm)]]*Table1123[[#This Row],[b (mm)]]*Table1123[[#This Row],[h (mm)]]*Table1123[[#This Row],[L(mm)]]/2)</f>
        <v>2.0713794027997756E-7</v>
      </c>
      <c r="T66" s="8">
        <f>G66/($AN$5*AK66*0.001*Table1123[[#This Row],[pho (%)]])</f>
        <v>5.1940045197320316E-7</v>
      </c>
      <c r="U66" s="8">
        <f>Table1123[[#This Row],[M (KN.mm)]]/(Table1123[[#This Row],[b (mm)]]*Table1123[[#This Row],[d (mm)]]*Table1123[[#This Row],[pho (%)]])</f>
        <v>0.14874076956123497</v>
      </c>
      <c r="V66" s="8">
        <f>E66*224.8/(2*SQRT(Table1123[[#This Row],[fc (Mpa)]]*145.037)*Table1123[[#This Row],[b (mm)]]*Table1123[[#This Row],[d (mm)]]*(1/25.4)^2)</f>
        <v>0.23837088165469245</v>
      </c>
      <c r="W66" s="8">
        <f>Table1123[[#This Row],[M (KN.mm)]]/$G$73</f>
        <v>0.14306151645207441</v>
      </c>
      <c r="X66" s="8">
        <f>E66*224.8/(2*SQRT(Table1123[[#This Row],[fc (Mpa)]]*145.037)*Table1123[[#This Row],[b (mm)]]*Table1123[[#This Row],[d (mm)]]*(1/25.4)^2+Table1123[[#This Row],[Av fy d/s (N)]]*0.2248)</f>
        <v>0.16100341215624392</v>
      </c>
      <c r="Y66" s="15">
        <v>0.51100000000000001</v>
      </c>
      <c r="Z66" s="8">
        <f>Table1123[[#This Row],[Av fy/(b S) (Mpa)]]*Table1123[[#This Row],[d (mm)]]*Table1123[[#This Row],[b (mm)]]</f>
        <v>100795.261</v>
      </c>
      <c r="AA66" s="8">
        <f>Table1123[[#This Row],[d (mm)]]/175</f>
        <v>1.6171428571428572</v>
      </c>
      <c r="AB66" s="8">
        <f>Table1123[[#This Row],[a/d]]*Table1123[[#This Row],[d]]</f>
        <v>1038.6099999999999</v>
      </c>
      <c r="AC66" s="8">
        <f>Table1123[[#This Row],[d]]</f>
        <v>283</v>
      </c>
      <c r="AD66" s="15">
        <v>333</v>
      </c>
      <c r="AE66" s="15">
        <v>697</v>
      </c>
      <c r="AF66" s="15">
        <v>41</v>
      </c>
      <c r="AG66" s="8">
        <f>Table1123[[#This Row],[pho (%)]]/100*Table1123[[#This Row],[b (mm)]]*Table1123[[#This Row],[d (mm)]]</f>
        <v>3491.3427000000001</v>
      </c>
      <c r="AH66" s="15">
        <v>1.77</v>
      </c>
      <c r="AI66" s="8">
        <v>465</v>
      </c>
      <c r="AJ66" s="8">
        <f>(1/3-0.21*(MIN(Table1123[[#This Row],[b (mm)]],AD66)/MAX(Table1123[[#This Row],[b (mm)]],AD66))*(MIN(Table1123[[#This Row],[b (mm)]],AD66)^4/(12*MAX(Table1123[[#This Row],[b (mm)]],AD66)^4)))*MAX(Table1123[[#This Row],[b (mm)]],AD66)*MIN(Table1123[[#This Row],[b (mm)]],AD66)^3</f>
        <v>8567937838.3011904</v>
      </c>
      <c r="AK66" s="8">
        <f>Table1123[[#This Row],[b (mm)]]*AD66^3/12</f>
        <v>2144787315.75</v>
      </c>
      <c r="AL66" s="15">
        <v>2080</v>
      </c>
      <c r="AM66" s="1"/>
      <c r="AN66" s="1"/>
    </row>
    <row r="67" spans="1:43" x14ac:dyDescent="0.25">
      <c r="A67" s="61" t="s">
        <v>116</v>
      </c>
      <c r="B67" s="7">
        <v>2</v>
      </c>
      <c r="C67" s="3">
        <v>66</v>
      </c>
      <c r="D67" s="15">
        <v>3.67</v>
      </c>
      <c r="E67" s="15">
        <v>100</v>
      </c>
      <c r="F67" s="15">
        <v>283</v>
      </c>
      <c r="G67" s="8">
        <f t="shared" si="32"/>
        <v>103860.99999999999</v>
      </c>
      <c r="H67" s="8">
        <f t="shared" si="33"/>
        <v>1.8386775999851392E-6</v>
      </c>
      <c r="I67" s="8">
        <f>G67/(Table1123[[#This Row],[b (mm)]]*AC67^2)</f>
        <v>1.8605735839108545E-3</v>
      </c>
      <c r="J67" s="8">
        <f t="shared" si="34"/>
        <v>0.22605839060942279</v>
      </c>
      <c r="K67" s="8">
        <f t="shared" si="35"/>
        <v>3.7170127000216753E-7</v>
      </c>
      <c r="L67" s="8">
        <f>E67/(Table1123[[#This Row],[b (mm)]]*AC67)</f>
        <v>5.0696827899478333E-4</v>
      </c>
      <c r="M67" s="8">
        <f>Table1123[[#This Row],[M (KN.mm)]]/(Table1123[[#This Row],[b (mm)]]*Table1123[[#This Row],[d (mm)]])</f>
        <v>0.52654232424677183</v>
      </c>
      <c r="N67" s="8">
        <f>Table1123[[#This Row],[M (KN.mm)]]/(Table1123[[#This Row],[b (mm)]]*Table1123[[#This Row],[h (mm)]])</f>
        <v>0.44748191520070996</v>
      </c>
      <c r="O67" s="8">
        <f>Table1123[[#This Row],[M (KN.mm)]]/(Table1123[[#This Row],[b (mm)]]*Table1123[[#This Row],[h (mm)]]*Table1123[[#This Row],[L(mm)]])</f>
        <v>2.1513553615418749E-4</v>
      </c>
      <c r="P67" s="8">
        <f>Table1123[[#This Row],[M (KN.mm)]]/(Table1123[[#This Row],[b (mm)]]*Table1123[[#This Row],[d (mm)]]*Table1123[[#This Row],[L(mm)]])</f>
        <v>2.5314534819556334E-4</v>
      </c>
      <c r="Q67" s="8">
        <f>Table1123[[#This Row],[M (KN.mm)]]/(Table1123[[#This Row],[b (mm)]]*Table1123[[#This Row],[h (mm)]]*Table1123[[#This Row],[L(mm)]]*Table1123[[#This Row],[fc (Mpa)]])</f>
        <v>5.2472081988826217E-6</v>
      </c>
      <c r="R67" s="8">
        <f>Table1123[[#This Row],[M (KN.mm)]]/(Table1123[[#This Row],[b (mm)]]*Table1123[[#This Row],[h (mm)]]*Table1123[[#This Row],[L(mm)]]/2)</f>
        <v>4.3027107230837497E-4</v>
      </c>
      <c r="S67" s="8">
        <f>Table1123[[#This Row],[M (KN.mm)]]/(Table1123[[#This Row],[a (mm)]]*Table1123[[#This Row],[b (mm)]]*Table1123[[#This Row],[h (mm)]]*Table1123[[#This Row],[L(mm)]]/2)</f>
        <v>4.1427588055995512E-7</v>
      </c>
      <c r="T67" s="8">
        <f>G67/($AN$5*AK67*0.001*Table1123[[#This Row],[pho (%)]])</f>
        <v>1.0388009039464063E-6</v>
      </c>
      <c r="U67" s="8">
        <f>Table1123[[#This Row],[M (KN.mm)]]/(Table1123[[#This Row],[b (mm)]]*Table1123[[#This Row],[d (mm)]]*Table1123[[#This Row],[pho (%)]])</f>
        <v>0.29748153912246994</v>
      </c>
      <c r="V67" s="8">
        <f>E67*224.8/(2*SQRT(Table1123[[#This Row],[fc (Mpa)]]*145.037)*Table1123[[#This Row],[b (mm)]]*Table1123[[#This Row],[d (mm)]]*(1/25.4)^2)</f>
        <v>0.47674176330938489</v>
      </c>
      <c r="W67" s="8">
        <f>Table1123[[#This Row],[M (KN.mm)]]/$G$73</f>
        <v>0.28612303290414881</v>
      </c>
      <c r="X67" s="8">
        <f>E67*224.8/(2*SQRT(Table1123[[#This Row],[fc (Mpa)]]*145.037)*Table1123[[#This Row],[b (mm)]]*Table1123[[#This Row],[d (mm)]]*(1/25.4)^2+Table1123[[#This Row],[Av fy d/s (N)]]*0.2248)</f>
        <v>0.32200682431248784</v>
      </c>
      <c r="Y67" s="15">
        <v>0.51100000000000001</v>
      </c>
      <c r="Z67" s="8">
        <f>Table1123[[#This Row],[Av fy/(b S) (Mpa)]]*Table1123[[#This Row],[d (mm)]]*Table1123[[#This Row],[b (mm)]]</f>
        <v>100795.261</v>
      </c>
      <c r="AA67" s="8">
        <f>Table1123[[#This Row],[d (mm)]]/175</f>
        <v>1.6171428571428572</v>
      </c>
      <c r="AB67" s="8">
        <f>Table1123[[#This Row],[a/d]]*Table1123[[#This Row],[d]]</f>
        <v>1038.6099999999999</v>
      </c>
      <c r="AC67" s="8">
        <f>Table1123[[#This Row],[d]]</f>
        <v>283</v>
      </c>
      <c r="AD67" s="15">
        <v>333</v>
      </c>
      <c r="AE67" s="15">
        <v>697</v>
      </c>
      <c r="AF67" s="15">
        <v>41</v>
      </c>
      <c r="AG67" s="8">
        <f>Table1123[[#This Row],[pho (%)]]/100*Table1123[[#This Row],[b (mm)]]*Table1123[[#This Row],[d (mm)]]</f>
        <v>3491.3427000000001</v>
      </c>
      <c r="AH67" s="15">
        <v>1.77</v>
      </c>
      <c r="AI67" s="8">
        <v>465</v>
      </c>
      <c r="AJ67" s="8">
        <f>(1/3-0.21*(MIN(Table1123[[#This Row],[b (mm)]],AD67)/MAX(Table1123[[#This Row],[b (mm)]],AD67))*(MIN(Table1123[[#This Row],[b (mm)]],AD67)^4/(12*MAX(Table1123[[#This Row],[b (mm)]],AD67)^4)))*MAX(Table1123[[#This Row],[b (mm)]],AD67)*MIN(Table1123[[#This Row],[b (mm)]],AD67)^3</f>
        <v>8567937838.3011904</v>
      </c>
      <c r="AK67" s="8">
        <f>Table1123[[#This Row],[b (mm)]]*AD67^3/12</f>
        <v>2144787315.75</v>
      </c>
      <c r="AL67" s="15">
        <v>2080</v>
      </c>
      <c r="AM67" s="1"/>
      <c r="AN67" s="1"/>
    </row>
    <row r="68" spans="1:43" x14ac:dyDescent="0.25">
      <c r="A68" s="61" t="s">
        <v>116</v>
      </c>
      <c r="B68" s="7">
        <v>3</v>
      </c>
      <c r="C68" s="3">
        <v>67</v>
      </c>
      <c r="D68" s="15">
        <v>3.67</v>
      </c>
      <c r="E68" s="15">
        <v>149.5</v>
      </c>
      <c r="F68" s="15">
        <v>283</v>
      </c>
      <c r="G68" s="8">
        <f t="shared" si="32"/>
        <v>155272.19499999998</v>
      </c>
      <c r="H68" s="8">
        <f t="shared" si="33"/>
        <v>2.7488230119777831E-6</v>
      </c>
      <c r="I68" s="8">
        <f>G68/(Table1123[[#This Row],[b (mm)]]*AC68^2)</f>
        <v>2.7815575079467273E-3</v>
      </c>
      <c r="J68" s="8">
        <f t="shared" si="34"/>
        <v>0.33795729396108709</v>
      </c>
      <c r="K68" s="8">
        <f t="shared" si="35"/>
        <v>5.556933986532405E-7</v>
      </c>
      <c r="L68" s="8">
        <f>E68/(Table1123[[#This Row],[b (mm)]]*AC68)</f>
        <v>7.5791757709720107E-4</v>
      </c>
      <c r="M68" s="8">
        <f>Table1123[[#This Row],[M (KN.mm)]]/(Table1123[[#This Row],[b (mm)]]*Table1123[[#This Row],[d (mm)]])</f>
        <v>0.78718077474892389</v>
      </c>
      <c r="N68" s="8">
        <f>Table1123[[#This Row],[M (KN.mm)]]/(Table1123[[#This Row],[b (mm)]]*Table1123[[#This Row],[h (mm)]])</f>
        <v>0.66898546322506136</v>
      </c>
      <c r="O68" s="8">
        <f>Table1123[[#This Row],[M (KN.mm)]]/(Table1123[[#This Row],[b (mm)]]*Table1123[[#This Row],[h (mm)]]*Table1123[[#This Row],[L(mm)]])</f>
        <v>3.2162762655051032E-4</v>
      </c>
      <c r="P68" s="8">
        <f>Table1123[[#This Row],[M (KN.mm)]]/(Table1123[[#This Row],[b (mm)]]*Table1123[[#This Row],[d (mm)]]*Table1123[[#This Row],[L(mm)]])</f>
        <v>3.7845229555236724E-4</v>
      </c>
      <c r="Q68" s="8">
        <f>Table1123[[#This Row],[M (KN.mm)]]/(Table1123[[#This Row],[b (mm)]]*Table1123[[#This Row],[h (mm)]]*Table1123[[#This Row],[L(mm)]]*Table1123[[#This Row],[fc (Mpa)]])</f>
        <v>7.8445762573295195E-6</v>
      </c>
      <c r="R68" s="8">
        <f>Table1123[[#This Row],[M (KN.mm)]]/(Table1123[[#This Row],[b (mm)]]*Table1123[[#This Row],[h (mm)]]*Table1123[[#This Row],[L(mm)]]/2)</f>
        <v>6.4325525310102063E-4</v>
      </c>
      <c r="S68" s="8">
        <f>Table1123[[#This Row],[M (KN.mm)]]/(Table1123[[#This Row],[a (mm)]]*Table1123[[#This Row],[b (mm)]]*Table1123[[#This Row],[h (mm)]]*Table1123[[#This Row],[L(mm)]]/2)</f>
        <v>6.193424414371329E-7</v>
      </c>
      <c r="T68" s="8">
        <f>G68/($AN$5*AK68*0.001*Table1123[[#This Row],[pho (%)]])</f>
        <v>1.5530073513998774E-6</v>
      </c>
      <c r="U68" s="8">
        <f>Table1123[[#This Row],[M (KN.mm)]]/(Table1123[[#This Row],[b (mm)]]*Table1123[[#This Row],[d (mm)]]*Table1123[[#This Row],[pho (%)]])</f>
        <v>0.44473490098809254</v>
      </c>
      <c r="V68" s="8">
        <f>E68*224.8/(2*SQRT(Table1123[[#This Row],[fc (Mpa)]]*145.037)*Table1123[[#This Row],[b (mm)]]*Table1123[[#This Row],[d (mm)]]*(1/25.4)^2)</f>
        <v>0.71272893614753041</v>
      </c>
      <c r="W68" s="8">
        <f>Table1123[[#This Row],[M (KN.mm)]]/$G$73</f>
        <v>0.42775393419170243</v>
      </c>
      <c r="X68" s="8">
        <f>E68*224.8/(2*SQRT(Table1123[[#This Row],[fc (Mpa)]]*145.037)*Table1123[[#This Row],[b (mm)]]*Table1123[[#This Row],[d (mm)]]*(1/25.4)^2+Table1123[[#This Row],[Av fy d/s (N)]]*0.2248)</f>
        <v>0.48140020234716929</v>
      </c>
      <c r="Y68" s="15">
        <v>0.51100000000000001</v>
      </c>
      <c r="Z68" s="8">
        <f>Table1123[[#This Row],[Av fy/(b S) (Mpa)]]*Table1123[[#This Row],[d (mm)]]*Table1123[[#This Row],[b (mm)]]</f>
        <v>100795.261</v>
      </c>
      <c r="AA68" s="8">
        <f>Table1123[[#This Row],[d (mm)]]/175</f>
        <v>1.6171428571428572</v>
      </c>
      <c r="AB68" s="8">
        <f>Table1123[[#This Row],[a/d]]*Table1123[[#This Row],[d]]</f>
        <v>1038.6099999999999</v>
      </c>
      <c r="AC68" s="8">
        <f>Table1123[[#This Row],[d]]</f>
        <v>283</v>
      </c>
      <c r="AD68" s="15">
        <v>333</v>
      </c>
      <c r="AE68" s="15">
        <v>697</v>
      </c>
      <c r="AF68" s="15">
        <v>41</v>
      </c>
      <c r="AG68" s="8">
        <f>Table1123[[#This Row],[pho (%)]]/100*Table1123[[#This Row],[b (mm)]]*Table1123[[#This Row],[d (mm)]]</f>
        <v>3491.3427000000001</v>
      </c>
      <c r="AH68" s="15">
        <v>1.77</v>
      </c>
      <c r="AI68" s="8">
        <v>465</v>
      </c>
      <c r="AJ68" s="8">
        <f>(1/3-0.21*(MIN(Table1123[[#This Row],[b (mm)]],AD68)/MAX(Table1123[[#This Row],[b (mm)]],AD68))*(MIN(Table1123[[#This Row],[b (mm)]],AD68)^4/(12*MAX(Table1123[[#This Row],[b (mm)]],AD68)^4)))*MAX(Table1123[[#This Row],[b (mm)]],AD68)*MIN(Table1123[[#This Row],[b (mm)]],AD68)^3</f>
        <v>8567937838.3011904</v>
      </c>
      <c r="AK68" s="8">
        <f>Table1123[[#This Row],[b (mm)]]*AD68^3/12</f>
        <v>2144787315.75</v>
      </c>
      <c r="AL68" s="15">
        <v>2080</v>
      </c>
      <c r="AM68" s="1"/>
      <c r="AN68" s="1"/>
    </row>
    <row r="69" spans="1:43" x14ac:dyDescent="0.25">
      <c r="A69" s="61" t="s">
        <v>116</v>
      </c>
      <c r="B69" s="7">
        <v>4</v>
      </c>
      <c r="C69" s="3">
        <v>68</v>
      </c>
      <c r="D69" s="15">
        <v>3.67</v>
      </c>
      <c r="E69" s="15">
        <v>200.5</v>
      </c>
      <c r="F69" s="15">
        <v>283</v>
      </c>
      <c r="G69" s="8">
        <f t="shared" si="32"/>
        <v>208241.30499999999</v>
      </c>
      <c r="H69" s="8">
        <f t="shared" si="33"/>
        <v>3.6865485879702046E-6</v>
      </c>
      <c r="I69" s="8">
        <f>G69/(Table1123[[#This Row],[b (mm)]]*AC69^2)</f>
        <v>3.7304500357412634E-3</v>
      </c>
      <c r="J69" s="8">
        <f t="shared" si="34"/>
        <v>0.45324707317189272</v>
      </c>
      <c r="K69" s="8">
        <f t="shared" si="35"/>
        <v>7.4526104635434599E-7</v>
      </c>
      <c r="L69" s="8">
        <f>E69/(Table1123[[#This Row],[b (mm)]]*AC69)</f>
        <v>1.0164713993845405E-3</v>
      </c>
      <c r="M69" s="8">
        <f>Table1123[[#This Row],[M (KN.mm)]]/(Table1123[[#This Row],[b (mm)]]*Table1123[[#This Row],[d (mm)]])</f>
        <v>1.0557173601147776</v>
      </c>
      <c r="N69" s="8">
        <f>Table1123[[#This Row],[M (KN.mm)]]/(Table1123[[#This Row],[b (mm)]]*Table1123[[#This Row],[h (mm)]])</f>
        <v>0.89720123997742363</v>
      </c>
      <c r="O69" s="8">
        <f>Table1123[[#This Row],[M (KN.mm)]]/(Table1123[[#This Row],[b (mm)]]*Table1123[[#This Row],[h (mm)]]*Table1123[[#This Row],[L(mm)]])</f>
        <v>4.3134674998914597E-4</v>
      </c>
      <c r="P69" s="8">
        <f>Table1123[[#This Row],[M (KN.mm)]]/(Table1123[[#This Row],[b (mm)]]*Table1123[[#This Row],[d (mm)]]*Table1123[[#This Row],[L(mm)]])</f>
        <v>5.0755642313210459E-4</v>
      </c>
      <c r="Q69" s="8">
        <f>Table1123[[#This Row],[M (KN.mm)]]/(Table1123[[#This Row],[b (mm)]]*Table1123[[#This Row],[h (mm)]]*Table1123[[#This Row],[L(mm)]]*Table1123[[#This Row],[fc (Mpa)]])</f>
        <v>1.0520652438759658E-5</v>
      </c>
      <c r="R69" s="8">
        <f>Table1123[[#This Row],[M (KN.mm)]]/(Table1123[[#This Row],[b (mm)]]*Table1123[[#This Row],[h (mm)]]*Table1123[[#This Row],[L(mm)]]/2)</f>
        <v>8.6269349997829194E-4</v>
      </c>
      <c r="S69" s="8">
        <f>Table1123[[#This Row],[M (KN.mm)]]/(Table1123[[#This Row],[a (mm)]]*Table1123[[#This Row],[b (mm)]]*Table1123[[#This Row],[h (mm)]]*Table1123[[#This Row],[L(mm)]]/2)</f>
        <v>8.3062314052271008E-7</v>
      </c>
      <c r="T69" s="8">
        <f>G69/($AN$5*AK69*0.001*Table1123[[#This Row],[pho (%)]])</f>
        <v>2.0827958124125447E-6</v>
      </c>
      <c r="U69" s="8">
        <f>Table1123[[#This Row],[M (KN.mm)]]/(Table1123[[#This Row],[b (mm)]]*Table1123[[#This Row],[d (mm)]]*Table1123[[#This Row],[pho (%)]])</f>
        <v>0.59645048594055228</v>
      </c>
      <c r="V69" s="8">
        <f>E69*224.8/(2*SQRT(Table1123[[#This Row],[fc (Mpa)]]*145.037)*Table1123[[#This Row],[b (mm)]]*Table1123[[#This Row],[d (mm)]]*(1/25.4)^2)</f>
        <v>0.95586723543531682</v>
      </c>
      <c r="W69" s="8">
        <f>Table1123[[#This Row],[M (KN.mm)]]/$G$73</f>
        <v>0.57367668097281832</v>
      </c>
      <c r="X69" s="8">
        <f>E69*224.8/(2*SQRT(Table1123[[#This Row],[fc (Mpa)]]*145.037)*Table1123[[#This Row],[b (mm)]]*Table1123[[#This Row],[d (mm)]]*(1/25.4)^2+Table1123[[#This Row],[Av fy d/s (N)]]*0.2248)</f>
        <v>0.64562368274653814</v>
      </c>
      <c r="Y69" s="15">
        <v>0.51100000000000001</v>
      </c>
      <c r="Z69" s="8">
        <f>Table1123[[#This Row],[Av fy/(b S) (Mpa)]]*Table1123[[#This Row],[d (mm)]]*Table1123[[#This Row],[b (mm)]]</f>
        <v>100795.261</v>
      </c>
      <c r="AA69" s="8">
        <f>Table1123[[#This Row],[d (mm)]]/175</f>
        <v>1.6171428571428572</v>
      </c>
      <c r="AB69" s="8">
        <f>Table1123[[#This Row],[a/d]]*Table1123[[#This Row],[d]]</f>
        <v>1038.6099999999999</v>
      </c>
      <c r="AC69" s="8">
        <f>Table1123[[#This Row],[d]]</f>
        <v>283</v>
      </c>
      <c r="AD69" s="15">
        <v>333</v>
      </c>
      <c r="AE69" s="15">
        <v>697</v>
      </c>
      <c r="AF69" s="15">
        <v>41</v>
      </c>
      <c r="AG69" s="8">
        <f>Table1123[[#This Row],[pho (%)]]/100*Table1123[[#This Row],[b (mm)]]*Table1123[[#This Row],[d (mm)]]</f>
        <v>3491.3427000000001</v>
      </c>
      <c r="AH69" s="15">
        <v>1.77</v>
      </c>
      <c r="AI69" s="8">
        <v>465</v>
      </c>
      <c r="AJ69" s="8">
        <f>(1/3-0.21*(MIN(Table1123[[#This Row],[b (mm)]],AD69)/MAX(Table1123[[#This Row],[b (mm)]],AD69))*(MIN(Table1123[[#This Row],[b (mm)]],AD69)^4/(12*MAX(Table1123[[#This Row],[b (mm)]],AD69)^4)))*MAX(Table1123[[#This Row],[b (mm)]],AD69)*MIN(Table1123[[#This Row],[b (mm)]],AD69)^3</f>
        <v>8567937838.3011904</v>
      </c>
      <c r="AK69" s="8">
        <f>Table1123[[#This Row],[b (mm)]]*AD69^3/12</f>
        <v>2144787315.75</v>
      </c>
      <c r="AL69" s="15">
        <v>2080</v>
      </c>
      <c r="AM69" s="1"/>
      <c r="AN69" s="1"/>
    </row>
    <row r="70" spans="1:43" x14ac:dyDescent="0.25">
      <c r="A70" s="61" t="s">
        <v>116</v>
      </c>
      <c r="B70" s="7">
        <v>5</v>
      </c>
      <c r="C70" s="3">
        <v>69</v>
      </c>
      <c r="D70" s="15">
        <v>3.67</v>
      </c>
      <c r="E70" s="15">
        <v>250</v>
      </c>
      <c r="F70" s="15">
        <v>283</v>
      </c>
      <c r="G70" s="8">
        <f t="shared" si="32"/>
        <v>259652.49999999997</v>
      </c>
      <c r="H70" s="8">
        <f t="shared" si="33"/>
        <v>4.5966939999628481E-6</v>
      </c>
      <c r="I70" s="8">
        <f>G70/(Table1123[[#This Row],[b (mm)]]*AC70^2)</f>
        <v>4.6514339597771362E-3</v>
      </c>
      <c r="J70" s="8">
        <f t="shared" si="34"/>
        <v>0.56514597652355703</v>
      </c>
      <c r="K70" s="8">
        <f t="shared" si="35"/>
        <v>9.2925317500541891E-7</v>
      </c>
      <c r="L70" s="8">
        <f>E70/(Table1123[[#This Row],[b (mm)]]*AC70)</f>
        <v>1.2674206974869582E-3</v>
      </c>
      <c r="M70" s="8">
        <f>Table1123[[#This Row],[M (KN.mm)]]/(Table1123[[#This Row],[b (mm)]]*Table1123[[#This Row],[d (mm)]])</f>
        <v>1.3163558106169295</v>
      </c>
      <c r="N70" s="8">
        <f>Table1123[[#This Row],[M (KN.mm)]]/(Table1123[[#This Row],[b (mm)]]*Table1123[[#This Row],[h (mm)]])</f>
        <v>1.1187047880017749</v>
      </c>
      <c r="O70" s="8">
        <f>Table1123[[#This Row],[M (KN.mm)]]/(Table1123[[#This Row],[b (mm)]]*Table1123[[#This Row],[h (mm)]]*Table1123[[#This Row],[L(mm)]])</f>
        <v>5.3783884038546869E-4</v>
      </c>
      <c r="P70" s="8">
        <f>Table1123[[#This Row],[M (KN.mm)]]/(Table1123[[#This Row],[b (mm)]]*Table1123[[#This Row],[d (mm)]]*Table1123[[#This Row],[L(mm)]])</f>
        <v>6.3286337048890843E-4</v>
      </c>
      <c r="Q70" s="8">
        <f>Table1123[[#This Row],[M (KN.mm)]]/(Table1123[[#This Row],[b (mm)]]*Table1123[[#This Row],[h (mm)]]*Table1123[[#This Row],[L(mm)]]*Table1123[[#This Row],[fc (Mpa)]])</f>
        <v>1.3118020497206555E-5</v>
      </c>
      <c r="R70" s="8">
        <f>Table1123[[#This Row],[M (KN.mm)]]/(Table1123[[#This Row],[b (mm)]]*Table1123[[#This Row],[h (mm)]]*Table1123[[#This Row],[L(mm)]]/2)</f>
        <v>1.0756776807709374E-3</v>
      </c>
      <c r="S70" s="8">
        <f>Table1123[[#This Row],[M (KN.mm)]]/(Table1123[[#This Row],[a (mm)]]*Table1123[[#This Row],[b (mm)]]*Table1123[[#This Row],[h (mm)]]*Table1123[[#This Row],[L(mm)]]/2)</f>
        <v>1.0356897013998878E-6</v>
      </c>
      <c r="T70" s="8">
        <f>G70/($AN$5*AK70*0.001*Table1123[[#This Row],[pho (%)]])</f>
        <v>2.5970022598660159E-6</v>
      </c>
      <c r="U70" s="8">
        <f>Table1123[[#This Row],[M (KN.mm)]]/(Table1123[[#This Row],[b (mm)]]*Table1123[[#This Row],[d (mm)]]*Table1123[[#This Row],[pho (%)]])</f>
        <v>0.74370384780617482</v>
      </c>
      <c r="V70" s="8">
        <f>E70*224.8/(2*SQRT(Table1123[[#This Row],[fc (Mpa)]]*145.037)*Table1123[[#This Row],[b (mm)]]*Table1123[[#This Row],[d (mm)]]*(1/25.4)^2)</f>
        <v>1.1918544082734623</v>
      </c>
      <c r="W70" s="8">
        <f>Table1123[[#This Row],[M (KN.mm)]]/$G$73</f>
        <v>0.71530758226037194</v>
      </c>
      <c r="X70" s="8">
        <f>E70*224.8/(2*SQRT(Table1123[[#This Row],[fc (Mpa)]]*145.037)*Table1123[[#This Row],[b (mm)]]*Table1123[[#This Row],[d (mm)]]*(1/25.4)^2+Table1123[[#This Row],[Av fy d/s (N)]]*0.2248)</f>
        <v>0.8050170607812196</v>
      </c>
      <c r="Y70" s="15">
        <v>0.51100000000000001</v>
      </c>
      <c r="Z70" s="8">
        <f>Table1123[[#This Row],[Av fy/(b S) (Mpa)]]*Table1123[[#This Row],[d (mm)]]*Table1123[[#This Row],[b (mm)]]</f>
        <v>100795.261</v>
      </c>
      <c r="AA70" s="8">
        <f>Table1123[[#This Row],[d (mm)]]/175</f>
        <v>1.6171428571428572</v>
      </c>
      <c r="AB70" s="8">
        <f>Table1123[[#This Row],[a/d]]*Table1123[[#This Row],[d]]</f>
        <v>1038.6099999999999</v>
      </c>
      <c r="AC70" s="8">
        <f>Table1123[[#This Row],[d]]</f>
        <v>283</v>
      </c>
      <c r="AD70" s="15">
        <v>333</v>
      </c>
      <c r="AE70" s="15">
        <v>697</v>
      </c>
      <c r="AF70" s="15">
        <v>41</v>
      </c>
      <c r="AG70" s="8">
        <f>Table1123[[#This Row],[pho (%)]]/100*Table1123[[#This Row],[b (mm)]]*Table1123[[#This Row],[d (mm)]]</f>
        <v>3491.3427000000001</v>
      </c>
      <c r="AH70" s="15">
        <v>1.77</v>
      </c>
      <c r="AI70" s="8">
        <v>465</v>
      </c>
      <c r="AJ70" s="8">
        <f>(1/3-0.21*(MIN(Table1123[[#This Row],[b (mm)]],AD70)/MAX(Table1123[[#This Row],[b (mm)]],AD70))*(MIN(Table1123[[#This Row],[b (mm)]],AD70)^4/(12*MAX(Table1123[[#This Row],[b (mm)]],AD70)^4)))*MAX(Table1123[[#This Row],[b (mm)]],AD70)*MIN(Table1123[[#This Row],[b (mm)]],AD70)^3</f>
        <v>8567937838.3011904</v>
      </c>
      <c r="AK70" s="8">
        <f>Table1123[[#This Row],[b (mm)]]*AD70^3/12</f>
        <v>2144787315.75</v>
      </c>
      <c r="AL70" s="15">
        <v>2080</v>
      </c>
      <c r="AM70" s="1"/>
      <c r="AN70" s="1"/>
    </row>
    <row r="71" spans="1:43" x14ac:dyDescent="0.25">
      <c r="A71" s="61" t="s">
        <v>116</v>
      </c>
      <c r="B71" s="7">
        <v>6</v>
      </c>
      <c r="C71" s="3">
        <v>70</v>
      </c>
      <c r="D71" s="15">
        <v>3.67</v>
      </c>
      <c r="E71" s="7">
        <v>275.5</v>
      </c>
      <c r="F71" s="15">
        <v>283</v>
      </c>
      <c r="G71" s="8">
        <f t="shared" si="32"/>
        <v>286137.05499999999</v>
      </c>
      <c r="H71" s="8">
        <f t="shared" si="33"/>
        <v>5.0655567879590593E-6</v>
      </c>
      <c r="I71" s="8">
        <f>G71/(Table1123[[#This Row],[b (mm)]]*AC71^2)</f>
        <v>5.1258802236744047E-3</v>
      </c>
      <c r="J71" s="8">
        <f t="shared" si="34"/>
        <v>0.62279086612895984</v>
      </c>
      <c r="K71" s="8">
        <f t="shared" si="35"/>
        <v>1.0240369988559717E-6</v>
      </c>
      <c r="L71" s="8">
        <f>E71/(Table1123[[#This Row],[b (mm)]]*AC71)</f>
        <v>1.396697608630628E-3</v>
      </c>
      <c r="M71" s="8">
        <f>Table1123[[#This Row],[M (KN.mm)]]/(Table1123[[#This Row],[b (mm)]]*Table1123[[#This Row],[d (mm)]])</f>
        <v>1.4506241032998566</v>
      </c>
      <c r="N71" s="8">
        <f>Table1123[[#This Row],[M (KN.mm)]]/(Table1123[[#This Row],[b (mm)]]*Table1123[[#This Row],[h (mm)]])</f>
        <v>1.2328126763779561</v>
      </c>
      <c r="O71" s="8">
        <f>Table1123[[#This Row],[M (KN.mm)]]/(Table1123[[#This Row],[b (mm)]]*Table1123[[#This Row],[h (mm)]]*Table1123[[#This Row],[L(mm)]])</f>
        <v>5.9269840210478654E-4</v>
      </c>
      <c r="P71" s="8">
        <f>Table1123[[#This Row],[M (KN.mm)]]/(Table1123[[#This Row],[b (mm)]]*Table1123[[#This Row],[d (mm)]]*Table1123[[#This Row],[L(mm)]])</f>
        <v>6.9741543427877717E-4</v>
      </c>
      <c r="Q71" s="8">
        <f>Table1123[[#This Row],[M (KN.mm)]]/(Table1123[[#This Row],[b (mm)]]*Table1123[[#This Row],[h (mm)]]*Table1123[[#This Row],[L(mm)]]*Table1123[[#This Row],[fc (Mpa)]])</f>
        <v>1.4456058587921624E-5</v>
      </c>
      <c r="R71" s="8">
        <f>Table1123[[#This Row],[M (KN.mm)]]/(Table1123[[#This Row],[b (mm)]]*Table1123[[#This Row],[h (mm)]]*Table1123[[#This Row],[L(mm)]]/2)</f>
        <v>1.1853968042095731E-3</v>
      </c>
      <c r="S71" s="8">
        <f>Table1123[[#This Row],[M (KN.mm)]]/(Table1123[[#This Row],[a (mm)]]*Table1123[[#This Row],[b (mm)]]*Table1123[[#This Row],[h (mm)]]*Table1123[[#This Row],[L(mm)]]/2)</f>
        <v>1.1413300509426765E-6</v>
      </c>
      <c r="T71" s="8">
        <f>G71/($AN$5*AK71*0.001*Table1123[[#This Row],[pho (%)]])</f>
        <v>2.8618964903723496E-6</v>
      </c>
      <c r="U71" s="8">
        <f>Table1123[[#This Row],[M (KN.mm)]]/(Table1123[[#This Row],[b (mm)]]*Table1123[[#This Row],[d (mm)]]*Table1123[[#This Row],[pho (%)]])</f>
        <v>0.81956164028240475</v>
      </c>
      <c r="V71" s="8">
        <f>E71*224.8/(2*SQRT(Table1123[[#This Row],[fc (Mpa)]]*145.037)*Table1123[[#This Row],[b (mm)]]*Table1123[[#This Row],[d (mm)]]*(1/25.4)^2)</f>
        <v>1.3134235579173554</v>
      </c>
      <c r="W71" s="8">
        <f>Table1123[[#This Row],[M (KN.mm)]]/$G$73</f>
        <v>0.78826895565093003</v>
      </c>
      <c r="X71" s="8">
        <f>E71*224.8/(2*SQRT(Table1123[[#This Row],[fc (Mpa)]]*145.037)*Table1123[[#This Row],[b (mm)]]*Table1123[[#This Row],[d (mm)]]*(1/25.4)^2+Table1123[[#This Row],[Av fy d/s (N)]]*0.2248)</f>
        <v>0.88712880098090396</v>
      </c>
      <c r="Y71" s="15">
        <v>0.51100000000000001</v>
      </c>
      <c r="Z71" s="8">
        <f>Table1123[[#This Row],[Av fy/(b S) (Mpa)]]*Table1123[[#This Row],[d (mm)]]*Table1123[[#This Row],[b (mm)]]</f>
        <v>100795.261</v>
      </c>
      <c r="AA71" s="8">
        <f>Table1123[[#This Row],[d (mm)]]/175</f>
        <v>1.6171428571428572</v>
      </c>
      <c r="AB71" s="8">
        <f>Table1123[[#This Row],[a/d]]*Table1123[[#This Row],[d]]</f>
        <v>1038.6099999999999</v>
      </c>
      <c r="AC71" s="8">
        <f>Table1123[[#This Row],[d]]</f>
        <v>283</v>
      </c>
      <c r="AD71" s="15">
        <v>333</v>
      </c>
      <c r="AE71" s="15">
        <v>697</v>
      </c>
      <c r="AF71" s="15">
        <v>41</v>
      </c>
      <c r="AG71" s="8">
        <f>Table1123[[#This Row],[pho (%)]]/100*Table1123[[#This Row],[b (mm)]]*Table1123[[#This Row],[d (mm)]]</f>
        <v>3491.3427000000001</v>
      </c>
      <c r="AH71" s="15">
        <v>1.77</v>
      </c>
      <c r="AI71" s="8">
        <v>465</v>
      </c>
      <c r="AJ71" s="8">
        <f>(1/3-0.21*(MIN(Table1123[[#This Row],[b (mm)]],AD71)/MAX(Table1123[[#This Row],[b (mm)]],AD71))*(MIN(Table1123[[#This Row],[b (mm)]],AD71)^4/(12*MAX(Table1123[[#This Row],[b (mm)]],AD71)^4)))*MAX(Table1123[[#This Row],[b (mm)]],AD71)*MIN(Table1123[[#This Row],[b (mm)]],AD71)^3</f>
        <v>8567937838.3011904</v>
      </c>
      <c r="AK71" s="8">
        <f>Table1123[[#This Row],[b (mm)]]*AD71^3/12</f>
        <v>2144787315.75</v>
      </c>
      <c r="AL71" s="15">
        <v>2080</v>
      </c>
      <c r="AM71" s="14"/>
      <c r="AN71" s="22"/>
      <c r="AO71" s="13"/>
      <c r="AP71" s="13"/>
    </row>
    <row r="72" spans="1:43" x14ac:dyDescent="0.25">
      <c r="A72" s="61" t="s">
        <v>116</v>
      </c>
      <c r="B72" s="7">
        <v>7</v>
      </c>
      <c r="C72" s="3">
        <v>71</v>
      </c>
      <c r="D72" s="15">
        <v>3.67</v>
      </c>
      <c r="E72" s="7">
        <v>312</v>
      </c>
      <c r="F72" s="15">
        <v>283</v>
      </c>
      <c r="G72" s="8">
        <f t="shared" si="32"/>
        <v>324046.31999999995</v>
      </c>
      <c r="H72" s="8">
        <f t="shared" si="33"/>
        <v>5.736674111953634E-6</v>
      </c>
      <c r="I72" s="8">
        <f>G72/(Table1123[[#This Row],[b (mm)]]*AC72^2)</f>
        <v>5.8049895818018653E-3</v>
      </c>
      <c r="J72" s="8">
        <f t="shared" si="34"/>
        <v>0.70530217870139911</v>
      </c>
      <c r="K72" s="8">
        <f t="shared" si="35"/>
        <v>1.1597079624067628E-6</v>
      </c>
      <c r="L72" s="8">
        <f>E72/(Table1123[[#This Row],[b (mm)]]*AC72)</f>
        <v>1.5817410304637238E-3</v>
      </c>
      <c r="M72" s="8">
        <f>Table1123[[#This Row],[M (KN.mm)]]/(Table1123[[#This Row],[b (mm)]]*Table1123[[#This Row],[d (mm)]])</f>
        <v>1.6428120516499281</v>
      </c>
      <c r="N72" s="8">
        <f>Table1123[[#This Row],[M (KN.mm)]]/(Table1123[[#This Row],[b (mm)]]*Table1123[[#This Row],[h (mm)]])</f>
        <v>1.396143575426215</v>
      </c>
      <c r="O72" s="8">
        <f>Table1123[[#This Row],[M (KN.mm)]]/(Table1123[[#This Row],[b (mm)]]*Table1123[[#This Row],[h (mm)]]*Table1123[[#This Row],[L(mm)]])</f>
        <v>6.71222872801065E-4</v>
      </c>
      <c r="P72" s="8">
        <f>Table1123[[#This Row],[M (KN.mm)]]/(Table1123[[#This Row],[b (mm)]]*Table1123[[#This Row],[d (mm)]]*Table1123[[#This Row],[L(mm)]])</f>
        <v>7.8981348637015769E-4</v>
      </c>
      <c r="Q72" s="8">
        <f>Table1123[[#This Row],[M (KN.mm)]]/(Table1123[[#This Row],[b (mm)]]*Table1123[[#This Row],[h (mm)]]*Table1123[[#This Row],[L(mm)]]*Table1123[[#This Row],[fc (Mpa)]])</f>
        <v>1.637128958051378E-5</v>
      </c>
      <c r="R72" s="8">
        <f>Table1123[[#This Row],[M (KN.mm)]]/(Table1123[[#This Row],[b (mm)]]*Table1123[[#This Row],[h (mm)]]*Table1123[[#This Row],[L(mm)]]/2)</f>
        <v>1.34244574560213E-3</v>
      </c>
      <c r="S72" s="8">
        <f>Table1123[[#This Row],[M (KN.mm)]]/(Table1123[[#This Row],[a (mm)]]*Table1123[[#This Row],[b (mm)]]*Table1123[[#This Row],[h (mm)]]*Table1123[[#This Row],[L(mm)]]/2)</f>
        <v>1.2925407473470599E-6</v>
      </c>
      <c r="T72" s="8">
        <f>G72/($AN$5*AK72*0.001*Table1123[[#This Row],[pho (%)]])</f>
        <v>3.2410588203127876E-6</v>
      </c>
      <c r="U72" s="8">
        <f>Table1123[[#This Row],[M (KN.mm)]]/(Table1123[[#This Row],[b (mm)]]*Table1123[[#This Row],[d (mm)]]*Table1123[[#This Row],[pho (%)]])</f>
        <v>0.92814240206210619</v>
      </c>
      <c r="V72" s="8">
        <f>E72*224.8/(2*SQRT(Table1123[[#This Row],[fc (Mpa)]]*145.037)*Table1123[[#This Row],[b (mm)]]*Table1123[[#This Row],[d (mm)]]*(1/25.4)^2)</f>
        <v>1.4874343015252811</v>
      </c>
      <c r="W72" s="8">
        <f>Table1123[[#This Row],[M (KN.mm)]]/$G$73</f>
        <v>0.89270386266094415</v>
      </c>
      <c r="X72" s="8">
        <f>E72*224.8/(2*SQRT(Table1123[[#This Row],[fc (Mpa)]]*145.037)*Table1123[[#This Row],[b (mm)]]*Table1123[[#This Row],[d (mm)]]*(1/25.4)^2+Table1123[[#This Row],[Av fy d/s (N)]]*0.2248)</f>
        <v>1.004661291854962</v>
      </c>
      <c r="Y72" s="15">
        <v>0.51100000000000001</v>
      </c>
      <c r="Z72" s="8">
        <f>Table1123[[#This Row],[Av fy/(b S) (Mpa)]]*Table1123[[#This Row],[d (mm)]]*Table1123[[#This Row],[b (mm)]]</f>
        <v>100795.261</v>
      </c>
      <c r="AA72" s="8">
        <f>Table1123[[#This Row],[d (mm)]]/175</f>
        <v>1.6171428571428572</v>
      </c>
      <c r="AB72" s="8">
        <f>Table1123[[#This Row],[a/d]]*Table1123[[#This Row],[d]]</f>
        <v>1038.6099999999999</v>
      </c>
      <c r="AC72" s="8">
        <f>Table1123[[#This Row],[d]]</f>
        <v>283</v>
      </c>
      <c r="AD72" s="15">
        <v>333</v>
      </c>
      <c r="AE72" s="15">
        <v>697</v>
      </c>
      <c r="AF72" s="15">
        <v>41</v>
      </c>
      <c r="AG72" s="8">
        <f>Table1123[[#This Row],[pho (%)]]/100*Table1123[[#This Row],[b (mm)]]*Table1123[[#This Row],[d (mm)]]</f>
        <v>3491.3427000000001</v>
      </c>
      <c r="AH72" s="15">
        <v>1.77</v>
      </c>
      <c r="AI72" s="8">
        <v>465</v>
      </c>
      <c r="AJ72" s="8">
        <f>(1/3-0.21*(MIN(Table1123[[#This Row],[b (mm)]],AD72)/MAX(Table1123[[#This Row],[b (mm)]],AD72))*(MIN(Table1123[[#This Row],[b (mm)]],AD72)^4/(12*MAX(Table1123[[#This Row],[b (mm)]],AD72)^4)))*MAX(Table1123[[#This Row],[b (mm)]],AD72)*MIN(Table1123[[#This Row],[b (mm)]],AD72)^3</f>
        <v>8567937838.3011904</v>
      </c>
      <c r="AK72" s="8">
        <f>Table1123[[#This Row],[b (mm)]]*AD72^3/12</f>
        <v>2144787315.75</v>
      </c>
      <c r="AL72" s="15">
        <v>2080</v>
      </c>
      <c r="AM72" s="14"/>
      <c r="AN72" s="22"/>
      <c r="AO72" s="13"/>
      <c r="AP72" s="13"/>
    </row>
    <row r="73" spans="1:43" x14ac:dyDescent="0.25">
      <c r="A73" s="61" t="s">
        <v>116</v>
      </c>
      <c r="B73" s="7">
        <v>8</v>
      </c>
      <c r="C73" s="3">
        <v>72</v>
      </c>
      <c r="D73" s="15">
        <v>3.67</v>
      </c>
      <c r="E73" s="7">
        <v>349.5</v>
      </c>
      <c r="F73" s="15">
        <v>283</v>
      </c>
      <c r="G73" s="8">
        <f t="shared" si="32"/>
        <v>362994.19499999995</v>
      </c>
      <c r="H73" s="8">
        <f t="shared" si="33"/>
        <v>6.4261782119480614E-6</v>
      </c>
      <c r="I73" s="8">
        <f>G73/(Table1123[[#This Row],[b (mm)]]*AC73^2)</f>
        <v>6.5027046757684366E-3</v>
      </c>
      <c r="J73" s="8">
        <f t="shared" si="34"/>
        <v>0.79007407517993267</v>
      </c>
      <c r="K73" s="8">
        <f t="shared" si="35"/>
        <v>1.2990959386575757E-6</v>
      </c>
      <c r="L73" s="8">
        <f>E73/(Table1123[[#This Row],[b (mm)]]*AC73)</f>
        <v>1.7718541350867675E-3</v>
      </c>
      <c r="M73" s="8">
        <f>Table1123[[#This Row],[M (KN.mm)]]/(Table1123[[#This Row],[b (mm)]]*Table1123[[#This Row],[d (mm)]])</f>
        <v>1.8402654232424676</v>
      </c>
      <c r="N73" s="8">
        <f>Table1123[[#This Row],[M (KN.mm)]]/(Table1123[[#This Row],[b (mm)]]*Table1123[[#This Row],[h (mm)]])</f>
        <v>1.5639492936264814</v>
      </c>
      <c r="O73" s="8">
        <f>Table1123[[#This Row],[M (KN.mm)]]/(Table1123[[#This Row],[b (mm)]]*Table1123[[#This Row],[h (mm)]]*Table1123[[#This Row],[L(mm)]])</f>
        <v>7.5189869885888523E-4</v>
      </c>
      <c r="P73" s="8">
        <f>Table1123[[#This Row],[M (KN.mm)]]/(Table1123[[#This Row],[b (mm)]]*Table1123[[#This Row],[d (mm)]]*Table1123[[#This Row],[L(mm)]])</f>
        <v>8.8474299194349392E-4</v>
      </c>
      <c r="Q73" s="8">
        <f>Table1123[[#This Row],[M (KN.mm)]]/(Table1123[[#This Row],[b (mm)]]*Table1123[[#This Row],[h (mm)]]*Table1123[[#This Row],[L(mm)]]*Table1123[[#This Row],[fc (Mpa)]])</f>
        <v>1.8338992655094763E-5</v>
      </c>
      <c r="R73" s="8">
        <f>Table1123[[#This Row],[M (KN.mm)]]/(Table1123[[#This Row],[b (mm)]]*Table1123[[#This Row],[h (mm)]]*Table1123[[#This Row],[L(mm)]]/2)</f>
        <v>1.5037973977177705E-3</v>
      </c>
      <c r="S73" s="8">
        <f>Table1123[[#This Row],[M (KN.mm)]]/(Table1123[[#This Row],[a (mm)]]*Table1123[[#This Row],[b (mm)]]*Table1123[[#This Row],[h (mm)]]*Table1123[[#This Row],[L(mm)]]/2)</f>
        <v>1.447894202557043E-6</v>
      </c>
      <c r="T73" s="8">
        <f>G73/($AN$5*AK73*0.001*Table1123[[#This Row],[pho (%)]])</f>
        <v>3.63060915929269E-6</v>
      </c>
      <c r="U73" s="8">
        <f>Table1123[[#This Row],[M (KN.mm)]]/(Table1123[[#This Row],[b (mm)]]*Table1123[[#This Row],[d (mm)]]*Table1123[[#This Row],[pho (%)]])</f>
        <v>1.0396979792330323</v>
      </c>
      <c r="V73" s="8">
        <f>E73*224.8/(2*SQRT(Table1123[[#This Row],[fc (Mpa)]]*145.037)*Table1123[[#This Row],[b (mm)]]*Table1123[[#This Row],[d (mm)]]*(1/25.4)^2)</f>
        <v>1.6662124627663004</v>
      </c>
      <c r="W73" s="8">
        <f>Table1123[[#This Row],[M (KN.mm)]]/$G$73</f>
        <v>1</v>
      </c>
      <c r="X73" s="8">
        <f>E73*224.8/(2*SQRT(Table1123[[#This Row],[fc (Mpa)]]*145.037)*Table1123[[#This Row],[b (mm)]]*Table1123[[#This Row],[d (mm)]]*(1/25.4)^2+Table1123[[#This Row],[Av fy d/s (N)]]*0.2248)</f>
        <v>1.125413850972145</v>
      </c>
      <c r="Y73" s="15">
        <v>0.51100000000000001</v>
      </c>
      <c r="Z73" s="8">
        <f>Table1123[[#This Row],[Av fy/(b S) (Mpa)]]*Table1123[[#This Row],[d (mm)]]*Table1123[[#This Row],[b (mm)]]</f>
        <v>100795.261</v>
      </c>
      <c r="AA73" s="8">
        <f>Table1123[[#This Row],[d (mm)]]/175</f>
        <v>1.6171428571428572</v>
      </c>
      <c r="AB73" s="8">
        <f>Table1123[[#This Row],[a/d]]*Table1123[[#This Row],[d]]</f>
        <v>1038.6099999999999</v>
      </c>
      <c r="AC73" s="8">
        <f>Table1123[[#This Row],[d]]</f>
        <v>283</v>
      </c>
      <c r="AD73" s="15">
        <v>333</v>
      </c>
      <c r="AE73" s="15">
        <v>697</v>
      </c>
      <c r="AF73" s="15">
        <v>41</v>
      </c>
      <c r="AG73" s="8">
        <f>Table1123[[#This Row],[pho (%)]]/100*Table1123[[#This Row],[b (mm)]]*Table1123[[#This Row],[d (mm)]]</f>
        <v>3491.3427000000001</v>
      </c>
      <c r="AH73" s="15">
        <v>1.77</v>
      </c>
      <c r="AI73" s="8">
        <v>465</v>
      </c>
      <c r="AJ73" s="8">
        <f>(1/3-0.21*(MIN(Table1123[[#This Row],[b (mm)]],AD73)/MAX(Table1123[[#This Row],[b (mm)]],AD73))*(MIN(Table1123[[#This Row],[b (mm)]],AD73)^4/(12*MAX(Table1123[[#This Row],[b (mm)]],AD73)^4)))*MAX(Table1123[[#This Row],[b (mm)]],AD73)*MIN(Table1123[[#This Row],[b (mm)]],AD73)^3</f>
        <v>8567937838.3011904</v>
      </c>
      <c r="AK73" s="8">
        <f>Table1123[[#This Row],[b (mm)]]*AD73^3/12</f>
        <v>2144787315.75</v>
      </c>
      <c r="AL73" s="15">
        <v>2080</v>
      </c>
      <c r="AM73" s="14"/>
      <c r="AN73" s="22"/>
      <c r="AO73" s="13"/>
      <c r="AP73" s="13"/>
    </row>
    <row r="74" spans="1:43" x14ac:dyDescent="0.25">
      <c r="A74" s="75" t="s">
        <v>117</v>
      </c>
      <c r="B74" s="7">
        <v>1</v>
      </c>
      <c r="C74" s="3">
        <v>73</v>
      </c>
      <c r="D74" s="15">
        <v>3.04</v>
      </c>
      <c r="E74" s="15">
        <v>34</v>
      </c>
      <c r="F74" s="15">
        <v>428</v>
      </c>
      <c r="G74" s="8">
        <f t="shared" ref="G74:G81" si="36">E74*AB74</f>
        <v>44238.080000000002</v>
      </c>
      <c r="H74" s="8">
        <f t="shared" ref="H74:H81" si="37">G74/($AN$5*AK74*0.001)</f>
        <v>7.9356656609662694E-7</v>
      </c>
      <c r="I74" s="8">
        <f>G74/(Table1123[[#This Row],[b (mm)]]*AC74^2)</f>
        <v>9.6213277730200692E-4</v>
      </c>
      <c r="J74" s="8">
        <f t="shared" ref="J74:J81" si="38">G74/(AG74*AI74*AC74*0.001)</f>
        <v>0.20285321047902322</v>
      </c>
      <c r="K74" s="8">
        <f t="shared" ref="K74:K81" si="39">E74/($AN$4*AJ74*0.001)</f>
        <v>4.4187389629633783E-7</v>
      </c>
      <c r="L74" s="8">
        <f>E74/(Table1123[[#This Row],[b (mm)]]*AC74)</f>
        <v>3.1649104516513386E-4</v>
      </c>
      <c r="M74" s="8">
        <f>Table1123[[#This Row],[M (KN.mm)]]/(Table1123[[#This Row],[b (mm)]]*Table1123[[#This Row],[d (mm)]])</f>
        <v>0.41179282868525896</v>
      </c>
      <c r="N74" s="8">
        <f>Table1123[[#This Row],[M (KN.mm)]]/(Table1123[[#This Row],[b (mm)]]*Table1123[[#This Row],[h (mm)]])</f>
        <v>0.37821315595985161</v>
      </c>
      <c r="O74" s="8">
        <f>Table1123[[#This Row],[M (KN.mm)]]/(Table1123[[#This Row],[b (mm)]]*Table1123[[#This Row],[h (mm)]]*Table1123[[#This Row],[L(mm)]])</f>
        <v>1.4546659844609676E-4</v>
      </c>
      <c r="P74" s="8">
        <f>Table1123[[#This Row],[M (KN.mm)]]/(Table1123[[#This Row],[b (mm)]]*Table1123[[#This Row],[d (mm)]]*Table1123[[#This Row],[L(mm)]])</f>
        <v>1.5838185718663808E-4</v>
      </c>
      <c r="Q74" s="8">
        <f>Table1123[[#This Row],[M (KN.mm)]]/(Table1123[[#This Row],[b (mm)]]*Table1123[[#This Row],[h (mm)]]*Table1123[[#This Row],[L(mm)]]*Table1123[[#This Row],[fc (Mpa)]])</f>
        <v>3.4884076365970448E-6</v>
      </c>
      <c r="R74" s="8">
        <f>Table1123[[#This Row],[M (KN.mm)]]/(Table1123[[#This Row],[b (mm)]]*Table1123[[#This Row],[h (mm)]]*Table1123[[#This Row],[L(mm)]]/2)</f>
        <v>2.9093319689219352E-4</v>
      </c>
      <c r="S74" s="8">
        <f>Table1123[[#This Row],[M (KN.mm)]]/(Table1123[[#This Row],[a (mm)]]*Table1123[[#This Row],[b (mm)]]*Table1123[[#This Row],[h (mm)]]*Table1123[[#This Row],[L(mm)]]/2)</f>
        <v>2.2360212500937154E-7</v>
      </c>
      <c r="T74" s="8">
        <f>G74/($AN$5*AK74*0.001*Table1123[[#This Row],[pho (%)]])</f>
        <v>7.780064373496343E-7</v>
      </c>
      <c r="U74" s="8">
        <f>Table1123[[#This Row],[M (KN.mm)]]/(Table1123[[#This Row],[b (mm)]]*Table1123[[#This Row],[d (mm)]]*Table1123[[#This Row],[pho (%)]])</f>
        <v>0.40371845949535196</v>
      </c>
      <c r="V74" s="8">
        <f>E74*224.8/(2*SQRT(Table1123[[#This Row],[fc (Mpa)]]*145.037)*Table1123[[#This Row],[b (mm)]]*Table1123[[#This Row],[d (mm)]]*(1/25.4)^2)</f>
        <v>0.29511259127089379</v>
      </c>
      <c r="W74" s="8">
        <f>Table1123[[#This Row],[M (KN.mm)]]/$G$81</f>
        <v>0.10044313146233382</v>
      </c>
      <c r="X74" s="8">
        <f>E74*224.8/(2*SQRT(Table1123[[#This Row],[fc (Mpa)]]*145.037)*Table1123[[#This Row],[b (mm)]]*Table1123[[#This Row],[d (mm)]]*(1/25.4)^2+Table1123[[#This Row],[Av fy d/s (N)]]*0.2248)</f>
        <v>0.10392287153013445</v>
      </c>
      <c r="Y74" s="15">
        <v>1.9730000000000001</v>
      </c>
      <c r="Z74" s="8">
        <f>Table1123[[#This Row],[Av fy/(b S) (Mpa)]]*Table1123[[#This Row],[d (mm)]]*Table1123[[#This Row],[b (mm)]]</f>
        <v>211955.44400000002</v>
      </c>
      <c r="AA74" s="8">
        <f>Table1123[[#This Row],[d (mm)]]/200</f>
        <v>2.14</v>
      </c>
      <c r="AB74" s="8">
        <f>Table1123[[#This Row],[a/d]]*Table1123[[#This Row],[d]]</f>
        <v>1301.1200000000001</v>
      </c>
      <c r="AC74" s="8">
        <f>Table1123[[#This Row],[d]]</f>
        <v>428</v>
      </c>
      <c r="AD74" s="15">
        <v>466</v>
      </c>
      <c r="AE74" s="15">
        <v>251</v>
      </c>
      <c r="AF74" s="15">
        <v>41.7</v>
      </c>
      <c r="AG74" s="8">
        <f>Table1123[[#This Row],[pho (%)]]/100*Table1123[[#This Row],[b (mm)]]*Table1123[[#This Row],[d (mm)]]</f>
        <v>1095.7655999999999</v>
      </c>
      <c r="AH74" s="15">
        <v>1.02</v>
      </c>
      <c r="AI74" s="8">
        <v>465</v>
      </c>
      <c r="AJ74" s="8">
        <f>(1/3-0.21*(MIN(Table1123[[#This Row],[b (mm)]],AD74)/MAX(Table1123[[#This Row],[b (mm)]],AD74))*(MIN(Table1123[[#This Row],[b (mm)]],AD74)^4/(12*MAX(Table1123[[#This Row],[b (mm)]],AD74)^4)))*MAX(Table1123[[#This Row],[b (mm)]],AD74)*MIN(Table1123[[#This Row],[b (mm)]],AD74)^3</f>
        <v>2450478647.5201311</v>
      </c>
      <c r="AK74" s="8">
        <f>Table1123[[#This Row],[b (mm)]]*AD74^3/12</f>
        <v>2116655724.6666667</v>
      </c>
      <c r="AL74" s="11">
        <v>2600</v>
      </c>
      <c r="AM74" s="14"/>
      <c r="AN74" s="22"/>
      <c r="AO74" s="13"/>
      <c r="AP74" s="13"/>
    </row>
    <row r="75" spans="1:43" x14ac:dyDescent="0.25">
      <c r="A75" s="75" t="s">
        <v>117</v>
      </c>
      <c r="B75" s="7">
        <v>2</v>
      </c>
      <c r="C75" s="3">
        <v>74</v>
      </c>
      <c r="D75" s="15">
        <v>3.04</v>
      </c>
      <c r="E75" s="15">
        <v>100</v>
      </c>
      <c r="F75" s="15">
        <v>428</v>
      </c>
      <c r="G75" s="8">
        <f t="shared" si="36"/>
        <v>130112.00000000001</v>
      </c>
      <c r="H75" s="8">
        <f t="shared" si="37"/>
        <v>2.3340193120489028E-6</v>
      </c>
      <c r="I75" s="8">
        <f>G75/(Table1123[[#This Row],[b (mm)]]*AC75^2)</f>
        <v>2.8298022861823736E-3</v>
      </c>
      <c r="J75" s="8">
        <f t="shared" si="38"/>
        <v>0.59662708964418598</v>
      </c>
      <c r="K75" s="8">
        <f t="shared" si="39"/>
        <v>1.2996291067539349E-6</v>
      </c>
      <c r="L75" s="8">
        <f>E75/(Table1123[[#This Row],[b (mm)]]*AC75)</f>
        <v>9.308560151915702E-4</v>
      </c>
      <c r="M75" s="8">
        <f>Table1123[[#This Row],[M (KN.mm)]]/(Table1123[[#This Row],[b (mm)]]*Table1123[[#This Row],[d (mm)]])</f>
        <v>1.2111553784860558</v>
      </c>
      <c r="N75" s="8">
        <f>Table1123[[#This Row],[M (KN.mm)]]/(Table1123[[#This Row],[b (mm)]]*Table1123[[#This Row],[h (mm)]])</f>
        <v>1.1123916351760341</v>
      </c>
      <c r="O75" s="8">
        <f>Table1123[[#This Row],[M (KN.mm)]]/(Table1123[[#This Row],[b (mm)]]*Table1123[[#This Row],[h (mm)]]*Table1123[[#This Row],[L(mm)]])</f>
        <v>4.2784293660616697E-4</v>
      </c>
      <c r="P75" s="8">
        <f>Table1123[[#This Row],[M (KN.mm)]]/(Table1123[[#This Row],[b (mm)]]*Table1123[[#This Row],[d (mm)]]*Table1123[[#This Row],[L(mm)]])</f>
        <v>4.6582899172540611E-4</v>
      </c>
      <c r="Q75" s="8">
        <f>Table1123[[#This Row],[M (KN.mm)]]/(Table1123[[#This Row],[b (mm)]]*Table1123[[#This Row],[h (mm)]]*Table1123[[#This Row],[L(mm)]]*Table1123[[#This Row],[fc (Mpa)]])</f>
        <v>1.0260022460579544E-5</v>
      </c>
      <c r="R75" s="8">
        <f>Table1123[[#This Row],[M (KN.mm)]]/(Table1123[[#This Row],[b (mm)]]*Table1123[[#This Row],[h (mm)]]*Table1123[[#This Row],[L(mm)]]/2)</f>
        <v>8.5568587321233395E-4</v>
      </c>
      <c r="S75" s="8">
        <f>Table1123[[#This Row],[M (KN.mm)]]/(Table1123[[#This Row],[a (mm)]]*Table1123[[#This Row],[b (mm)]]*Table1123[[#This Row],[h (mm)]]*Table1123[[#This Row],[L(mm)]]/2)</f>
        <v>6.5765330885109277E-7</v>
      </c>
      <c r="T75" s="8">
        <f>G75/($AN$5*AK75*0.001*Table1123[[#This Row],[pho (%)]])</f>
        <v>2.2882542274989243E-6</v>
      </c>
      <c r="U75" s="8">
        <f>Table1123[[#This Row],[M (KN.mm)]]/(Table1123[[#This Row],[b (mm)]]*Table1123[[#This Row],[d (mm)]]*Table1123[[#This Row],[pho (%)]])</f>
        <v>1.1874072338098587</v>
      </c>
      <c r="V75" s="8">
        <f>E75*224.8/(2*SQRT(Table1123[[#This Row],[fc (Mpa)]]*145.037)*Table1123[[#This Row],[b (mm)]]*Table1123[[#This Row],[d (mm)]]*(1/25.4)^2)</f>
        <v>0.86797820962027572</v>
      </c>
      <c r="W75" s="8">
        <f>Table1123[[#This Row],[M (KN.mm)]]/$G$81</f>
        <v>0.29542097488921715</v>
      </c>
      <c r="X75" s="8">
        <f>E75*224.8/(2*SQRT(Table1123[[#This Row],[fc (Mpa)]]*145.037)*Table1123[[#This Row],[b (mm)]]*Table1123[[#This Row],[d (mm)]]*(1/25.4)^2+Table1123[[#This Row],[Av fy d/s (N)]]*0.2248)</f>
        <v>0.30565550450039541</v>
      </c>
      <c r="Y75" s="15">
        <v>1.9730000000000001</v>
      </c>
      <c r="Z75" s="8">
        <f>Table1123[[#This Row],[Av fy/(b S) (Mpa)]]*Table1123[[#This Row],[d (mm)]]*Table1123[[#This Row],[b (mm)]]</f>
        <v>211955.44400000002</v>
      </c>
      <c r="AA75" s="8">
        <f>Table1123[[#This Row],[d (mm)]]/200</f>
        <v>2.14</v>
      </c>
      <c r="AB75" s="8">
        <f>Table1123[[#This Row],[a/d]]*Table1123[[#This Row],[d]]</f>
        <v>1301.1200000000001</v>
      </c>
      <c r="AC75" s="8">
        <f>Table1123[[#This Row],[d]]</f>
        <v>428</v>
      </c>
      <c r="AD75" s="15">
        <v>466</v>
      </c>
      <c r="AE75" s="15">
        <v>251</v>
      </c>
      <c r="AF75" s="15">
        <v>41.7</v>
      </c>
      <c r="AG75" s="8">
        <f>Table1123[[#This Row],[pho (%)]]/100*Table1123[[#This Row],[b (mm)]]*Table1123[[#This Row],[d (mm)]]</f>
        <v>1095.7655999999999</v>
      </c>
      <c r="AH75" s="15">
        <v>1.02</v>
      </c>
      <c r="AI75" s="8">
        <v>465</v>
      </c>
      <c r="AJ75" s="8">
        <f>(1/3-0.21*(MIN(Table1123[[#This Row],[b (mm)]],AD75)/MAX(Table1123[[#This Row],[b (mm)]],AD75))*(MIN(Table1123[[#This Row],[b (mm)]],AD75)^4/(12*MAX(Table1123[[#This Row],[b (mm)]],AD75)^4)))*MAX(Table1123[[#This Row],[b (mm)]],AD75)*MIN(Table1123[[#This Row],[b (mm)]],AD75)^3</f>
        <v>2450478647.5201311</v>
      </c>
      <c r="AK75" s="8">
        <f>Table1123[[#This Row],[b (mm)]]*AD75^3/12</f>
        <v>2116655724.6666667</v>
      </c>
      <c r="AL75" s="11">
        <v>2600</v>
      </c>
      <c r="AM75" s="14"/>
      <c r="AN75" s="22"/>
      <c r="AO75" s="13"/>
      <c r="AP75" s="13"/>
    </row>
    <row r="76" spans="1:43" x14ac:dyDescent="0.25">
      <c r="A76" s="75" t="s">
        <v>117</v>
      </c>
      <c r="B76" s="7">
        <v>3</v>
      </c>
      <c r="C76" s="3">
        <v>75</v>
      </c>
      <c r="D76" s="15">
        <v>3.04</v>
      </c>
      <c r="E76" s="7">
        <v>151</v>
      </c>
      <c r="F76" s="15">
        <v>428</v>
      </c>
      <c r="G76" s="8">
        <f t="shared" si="36"/>
        <v>196469.12000000002</v>
      </c>
      <c r="H76" s="8">
        <f t="shared" si="37"/>
        <v>3.5243691611938434E-6</v>
      </c>
      <c r="I76" s="8">
        <f>G76/(Table1123[[#This Row],[b (mm)]]*AC76^2)</f>
        <v>4.273001452135384E-3</v>
      </c>
      <c r="J76" s="8">
        <f t="shared" si="38"/>
        <v>0.90090690536272078</v>
      </c>
      <c r="K76" s="8">
        <f t="shared" si="39"/>
        <v>1.9624399511984414E-6</v>
      </c>
      <c r="L76" s="8">
        <f>E76/(Table1123[[#This Row],[b (mm)]]*AC76)</f>
        <v>1.4055925829392709E-3</v>
      </c>
      <c r="M76" s="8">
        <f>Table1123[[#This Row],[M (KN.mm)]]/(Table1123[[#This Row],[b (mm)]]*Table1123[[#This Row],[d (mm)]])</f>
        <v>1.8288446215139444</v>
      </c>
      <c r="N76" s="8">
        <f>Table1123[[#This Row],[M (KN.mm)]]/(Table1123[[#This Row],[b (mm)]]*Table1123[[#This Row],[h (mm)]])</f>
        <v>1.6797113691158116</v>
      </c>
      <c r="O76" s="8">
        <f>Table1123[[#This Row],[M (KN.mm)]]/(Table1123[[#This Row],[b (mm)]]*Table1123[[#This Row],[h (mm)]]*Table1123[[#This Row],[L(mm)]])</f>
        <v>6.4604283427531213E-4</v>
      </c>
      <c r="P76" s="8">
        <f>Table1123[[#This Row],[M (KN.mm)]]/(Table1123[[#This Row],[b (mm)]]*Table1123[[#This Row],[d (mm)]]*Table1123[[#This Row],[L(mm)]])</f>
        <v>7.0340177750536324E-4</v>
      </c>
      <c r="Q76" s="8">
        <f>Table1123[[#This Row],[M (KN.mm)]]/(Table1123[[#This Row],[b (mm)]]*Table1123[[#This Row],[h (mm)]]*Table1123[[#This Row],[L(mm)]]*Table1123[[#This Row],[fc (Mpa)]])</f>
        <v>1.5492633915475112E-5</v>
      </c>
      <c r="R76" s="8">
        <f>Table1123[[#This Row],[M (KN.mm)]]/(Table1123[[#This Row],[b (mm)]]*Table1123[[#This Row],[h (mm)]]*Table1123[[#This Row],[L(mm)]]/2)</f>
        <v>1.2920856685506243E-3</v>
      </c>
      <c r="S76" s="8">
        <f>Table1123[[#This Row],[M (KN.mm)]]/(Table1123[[#This Row],[a (mm)]]*Table1123[[#This Row],[b (mm)]]*Table1123[[#This Row],[h (mm)]]*Table1123[[#This Row],[L(mm)]]/2)</f>
        <v>9.9305649636515021E-7</v>
      </c>
      <c r="T76" s="8">
        <f>G76/($AN$5*AK76*0.001*Table1123[[#This Row],[pho (%)]])</f>
        <v>3.4552638835233759E-6</v>
      </c>
      <c r="U76" s="8">
        <f>Table1123[[#This Row],[M (KN.mm)]]/(Table1123[[#This Row],[b (mm)]]*Table1123[[#This Row],[d (mm)]]*Table1123[[#This Row],[pho (%)]])</f>
        <v>1.7929849230528867</v>
      </c>
      <c r="V76" s="8">
        <f>E76*224.8/(2*SQRT(Table1123[[#This Row],[fc (Mpa)]]*145.037)*Table1123[[#This Row],[b (mm)]]*Table1123[[#This Row],[d (mm)]]*(1/25.4)^2)</f>
        <v>1.3106470965266164</v>
      </c>
      <c r="W76" s="8">
        <f>Table1123[[#This Row],[M (KN.mm)]]/$G$81</f>
        <v>0.44608567208271788</v>
      </c>
      <c r="X76" s="8">
        <f>E76*224.8/(2*SQRT(Table1123[[#This Row],[fc (Mpa)]]*145.037)*Table1123[[#This Row],[b (mm)]]*Table1123[[#This Row],[d (mm)]]*(1/25.4)^2+Table1123[[#This Row],[Av fy d/s (N)]]*0.2248)</f>
        <v>0.46153981179559711</v>
      </c>
      <c r="Y76" s="15">
        <v>1.9730000000000001</v>
      </c>
      <c r="Z76" s="8">
        <f>Table1123[[#This Row],[Av fy/(b S) (Mpa)]]*Table1123[[#This Row],[d (mm)]]*Table1123[[#This Row],[b (mm)]]</f>
        <v>211955.44400000002</v>
      </c>
      <c r="AA76" s="8">
        <f>Table1123[[#This Row],[d (mm)]]/200</f>
        <v>2.14</v>
      </c>
      <c r="AB76" s="8">
        <f>Table1123[[#This Row],[a/d]]*Table1123[[#This Row],[d]]</f>
        <v>1301.1200000000001</v>
      </c>
      <c r="AC76" s="8">
        <f>Table1123[[#This Row],[d]]</f>
        <v>428</v>
      </c>
      <c r="AD76" s="15">
        <v>466</v>
      </c>
      <c r="AE76" s="15">
        <v>251</v>
      </c>
      <c r="AF76" s="15">
        <v>41.7</v>
      </c>
      <c r="AG76" s="8">
        <f>Table1123[[#This Row],[pho (%)]]/100*Table1123[[#This Row],[b (mm)]]*Table1123[[#This Row],[d (mm)]]</f>
        <v>1095.7655999999999</v>
      </c>
      <c r="AH76" s="15">
        <v>1.02</v>
      </c>
      <c r="AI76" s="8">
        <v>465</v>
      </c>
      <c r="AJ76" s="8">
        <f>(1/3-0.21*(MIN(Table1123[[#This Row],[b (mm)]],AD76)/MAX(Table1123[[#This Row],[b (mm)]],AD76))*(MIN(Table1123[[#This Row],[b (mm)]],AD76)^4/(12*MAX(Table1123[[#This Row],[b (mm)]],AD76)^4)))*MAX(Table1123[[#This Row],[b (mm)]],AD76)*MIN(Table1123[[#This Row],[b (mm)]],AD76)^3</f>
        <v>2450478647.5201311</v>
      </c>
      <c r="AK76" s="8">
        <f>Table1123[[#This Row],[b (mm)]]*AD76^3/12</f>
        <v>2116655724.6666667</v>
      </c>
      <c r="AL76" s="11">
        <v>2600</v>
      </c>
      <c r="AM76" s="14"/>
      <c r="AN76" s="22"/>
      <c r="AO76" s="13"/>
      <c r="AP76" s="13"/>
    </row>
    <row r="77" spans="1:43" x14ac:dyDescent="0.25">
      <c r="A77" s="75" t="s">
        <v>117</v>
      </c>
      <c r="B77" s="7">
        <v>4</v>
      </c>
      <c r="C77" s="3">
        <v>76</v>
      </c>
      <c r="D77" s="15">
        <v>3.04</v>
      </c>
      <c r="E77" s="7">
        <v>188.5</v>
      </c>
      <c r="F77" s="15">
        <v>428</v>
      </c>
      <c r="G77" s="8">
        <f t="shared" si="36"/>
        <v>245261.12000000002</v>
      </c>
      <c r="H77" s="8">
        <f t="shared" si="37"/>
        <v>4.3996264032121821E-6</v>
      </c>
      <c r="I77" s="8">
        <f>G77/(Table1123[[#This Row],[b (mm)]]*AC77^2)</f>
        <v>5.3341773094537741E-3</v>
      </c>
      <c r="J77" s="8">
        <f t="shared" si="38"/>
        <v>1.1246420639792905</v>
      </c>
      <c r="K77" s="8">
        <f t="shared" si="39"/>
        <v>2.4498008662311669E-6</v>
      </c>
      <c r="L77" s="8">
        <f>E77/(Table1123[[#This Row],[b (mm)]]*AC77)</f>
        <v>1.7546635886361097E-3</v>
      </c>
      <c r="M77" s="8">
        <f>Table1123[[#This Row],[M (KN.mm)]]/(Table1123[[#This Row],[b (mm)]]*Table1123[[#This Row],[d (mm)]])</f>
        <v>2.2830278884462154</v>
      </c>
      <c r="N77" s="8">
        <f>Table1123[[#This Row],[M (KN.mm)]]/(Table1123[[#This Row],[b (mm)]]*Table1123[[#This Row],[h (mm)]])</f>
        <v>2.0968582323068246</v>
      </c>
      <c r="O77" s="8">
        <f>Table1123[[#This Row],[M (KN.mm)]]/(Table1123[[#This Row],[b (mm)]]*Table1123[[#This Row],[h (mm)]]*Table1123[[#This Row],[L(mm)]])</f>
        <v>8.0648393550262478E-4</v>
      </c>
      <c r="P77" s="8">
        <f>Table1123[[#This Row],[M (KN.mm)]]/(Table1123[[#This Row],[b (mm)]]*Table1123[[#This Row],[d (mm)]]*Table1123[[#This Row],[L(mm)]])</f>
        <v>8.7808764940239053E-4</v>
      </c>
      <c r="Q77" s="8">
        <f>Table1123[[#This Row],[M (KN.mm)]]/(Table1123[[#This Row],[b (mm)]]*Table1123[[#This Row],[h (mm)]]*Table1123[[#This Row],[L(mm)]]*Table1123[[#This Row],[fc (Mpa)]])</f>
        <v>1.9340142338192442E-5</v>
      </c>
      <c r="R77" s="8">
        <f>Table1123[[#This Row],[M (KN.mm)]]/(Table1123[[#This Row],[b (mm)]]*Table1123[[#This Row],[h (mm)]]*Table1123[[#This Row],[L(mm)]]/2)</f>
        <v>1.6129678710052496E-3</v>
      </c>
      <c r="S77" s="8">
        <f>Table1123[[#This Row],[M (KN.mm)]]/(Table1123[[#This Row],[a (mm)]]*Table1123[[#This Row],[b (mm)]]*Table1123[[#This Row],[h (mm)]]*Table1123[[#This Row],[L(mm)]]/2)</f>
        <v>1.2396764871843098E-6</v>
      </c>
      <c r="T77" s="8">
        <f>G77/($AN$5*AK77*0.001*Table1123[[#This Row],[pho (%)]])</f>
        <v>4.3133592188354728E-6</v>
      </c>
      <c r="U77" s="8">
        <f>Table1123[[#This Row],[M (KN.mm)]]/(Table1123[[#This Row],[b (mm)]]*Table1123[[#This Row],[d (mm)]]*Table1123[[#This Row],[pho (%)]])</f>
        <v>2.2382626357315836</v>
      </c>
      <c r="V77" s="8">
        <f>E77*224.8/(2*SQRT(Table1123[[#This Row],[fc (Mpa)]]*145.037)*Table1123[[#This Row],[b (mm)]]*Table1123[[#This Row],[d (mm)]]*(1/25.4)^2)</f>
        <v>1.6361389251342198</v>
      </c>
      <c r="W77" s="8">
        <f>Table1123[[#This Row],[M (KN.mm)]]/$G$81</f>
        <v>0.55686853766617428</v>
      </c>
      <c r="X77" s="8">
        <f>E77*224.8/(2*SQRT(Table1123[[#This Row],[fc (Mpa)]]*145.037)*Table1123[[#This Row],[b (mm)]]*Table1123[[#This Row],[d (mm)]]*(1/25.4)^2+Table1123[[#This Row],[Av fy d/s (N)]]*0.2248)</f>
        <v>0.57616062598324536</v>
      </c>
      <c r="Y77" s="15">
        <v>1.9730000000000001</v>
      </c>
      <c r="Z77" s="8">
        <f>Table1123[[#This Row],[Av fy/(b S) (Mpa)]]*Table1123[[#This Row],[d (mm)]]*Table1123[[#This Row],[b (mm)]]</f>
        <v>211955.44400000002</v>
      </c>
      <c r="AA77" s="8">
        <f>Table1123[[#This Row],[d (mm)]]/200</f>
        <v>2.14</v>
      </c>
      <c r="AB77" s="8">
        <f>Table1123[[#This Row],[a/d]]*Table1123[[#This Row],[d]]</f>
        <v>1301.1200000000001</v>
      </c>
      <c r="AC77" s="8">
        <f>Table1123[[#This Row],[d]]</f>
        <v>428</v>
      </c>
      <c r="AD77" s="15">
        <v>466</v>
      </c>
      <c r="AE77" s="15">
        <v>251</v>
      </c>
      <c r="AF77" s="15">
        <v>41.7</v>
      </c>
      <c r="AG77" s="8">
        <f>Table1123[[#This Row],[pho (%)]]/100*Table1123[[#This Row],[b (mm)]]*Table1123[[#This Row],[d (mm)]]</f>
        <v>1095.7655999999999</v>
      </c>
      <c r="AH77" s="15">
        <v>1.02</v>
      </c>
      <c r="AI77" s="8">
        <v>465</v>
      </c>
      <c r="AJ77" s="8">
        <f>(1/3-0.21*(MIN(Table1123[[#This Row],[b (mm)]],AD77)/MAX(Table1123[[#This Row],[b (mm)]],AD77))*(MIN(Table1123[[#This Row],[b (mm)]],AD77)^4/(12*MAX(Table1123[[#This Row],[b (mm)]],AD77)^4)))*MAX(Table1123[[#This Row],[b (mm)]],AD77)*MIN(Table1123[[#This Row],[b (mm)]],AD77)^3</f>
        <v>2450478647.5201311</v>
      </c>
      <c r="AK77" s="8">
        <f>Table1123[[#This Row],[b (mm)]]*AD77^3/12</f>
        <v>2116655724.6666667</v>
      </c>
      <c r="AL77" s="11">
        <v>2600</v>
      </c>
      <c r="AM77" s="14"/>
      <c r="AN77" s="22"/>
      <c r="AO77" s="13"/>
      <c r="AP77" s="13"/>
    </row>
    <row r="78" spans="1:43" x14ac:dyDescent="0.25">
      <c r="A78" s="75" t="s">
        <v>117</v>
      </c>
      <c r="B78" s="7">
        <v>5</v>
      </c>
      <c r="C78" s="3">
        <v>77</v>
      </c>
      <c r="D78" s="15">
        <v>3.04</v>
      </c>
      <c r="E78" s="7">
        <v>212.5</v>
      </c>
      <c r="F78" s="15">
        <v>428</v>
      </c>
      <c r="G78" s="8">
        <f t="shared" si="36"/>
        <v>276488</v>
      </c>
      <c r="H78" s="8">
        <f t="shared" si="37"/>
        <v>4.9597910381039185E-6</v>
      </c>
      <c r="I78" s="8">
        <f>G78/(Table1123[[#This Row],[b (mm)]]*AC78^2)</f>
        <v>6.0133298581375432E-3</v>
      </c>
      <c r="J78" s="8">
        <f t="shared" si="38"/>
        <v>1.2678325654938949</v>
      </c>
      <c r="K78" s="8">
        <f t="shared" si="39"/>
        <v>2.7617118518521114E-6</v>
      </c>
      <c r="L78" s="8">
        <f>E78/(Table1123[[#This Row],[b (mm)]]*AC78)</f>
        <v>1.9780690322820866E-3</v>
      </c>
      <c r="M78" s="8">
        <f>Table1123[[#This Row],[M (KN.mm)]]/(Table1123[[#This Row],[b (mm)]]*Table1123[[#This Row],[d (mm)]])</f>
        <v>2.5737051792828685</v>
      </c>
      <c r="N78" s="8">
        <f>Table1123[[#This Row],[M (KN.mm)]]/(Table1123[[#This Row],[b (mm)]]*Table1123[[#This Row],[h (mm)]])</f>
        <v>2.3638322247490722</v>
      </c>
      <c r="O78" s="8">
        <f>Table1123[[#This Row],[M (KN.mm)]]/(Table1123[[#This Row],[b (mm)]]*Table1123[[#This Row],[h (mm)]]*Table1123[[#This Row],[L(mm)]])</f>
        <v>9.0916624028810472E-4</v>
      </c>
      <c r="P78" s="8">
        <f>Table1123[[#This Row],[M (KN.mm)]]/(Table1123[[#This Row],[b (mm)]]*Table1123[[#This Row],[d (mm)]]*Table1123[[#This Row],[L(mm)]])</f>
        <v>9.8988660741648792E-4</v>
      </c>
      <c r="Q78" s="8">
        <f>Table1123[[#This Row],[M (KN.mm)]]/(Table1123[[#This Row],[b (mm)]]*Table1123[[#This Row],[h (mm)]]*Table1123[[#This Row],[L(mm)]]*Table1123[[#This Row],[fc (Mpa)]])</f>
        <v>2.180254772873153E-5</v>
      </c>
      <c r="R78" s="8">
        <f>Table1123[[#This Row],[M (KN.mm)]]/(Table1123[[#This Row],[b (mm)]]*Table1123[[#This Row],[h (mm)]]*Table1123[[#This Row],[L(mm)]]/2)</f>
        <v>1.8183324805762094E-3</v>
      </c>
      <c r="S78" s="8">
        <f>Table1123[[#This Row],[M (KN.mm)]]/(Table1123[[#This Row],[a (mm)]]*Table1123[[#This Row],[b (mm)]]*Table1123[[#This Row],[h (mm)]]*Table1123[[#This Row],[L(mm)]]/2)</f>
        <v>1.3975132813085719E-6</v>
      </c>
      <c r="T78" s="8">
        <f>G78/($AN$5*AK78*0.001*Table1123[[#This Row],[pho (%)]])</f>
        <v>4.8625402334352142E-6</v>
      </c>
      <c r="U78" s="8">
        <f>Table1123[[#This Row],[M (KN.mm)]]/(Table1123[[#This Row],[b (mm)]]*Table1123[[#This Row],[d (mm)]]*Table1123[[#This Row],[pho (%)]])</f>
        <v>2.5232403718459495</v>
      </c>
      <c r="V78" s="8">
        <f>E78*224.8/(2*SQRT(Table1123[[#This Row],[fc (Mpa)]]*145.037)*Table1123[[#This Row],[b (mm)]]*Table1123[[#This Row],[d (mm)]]*(1/25.4)^2)</f>
        <v>1.8444536954430859</v>
      </c>
      <c r="W78" s="8">
        <f>Table1123[[#This Row],[M (KN.mm)]]/$G$81</f>
        <v>0.62776957163958635</v>
      </c>
      <c r="X78" s="8">
        <f>E78*224.8/(2*SQRT(Table1123[[#This Row],[fc (Mpa)]]*145.037)*Table1123[[#This Row],[b (mm)]]*Table1123[[#This Row],[d (mm)]]*(1/25.4)^2+Table1123[[#This Row],[Av fy d/s (N)]]*0.2248)</f>
        <v>0.64951794706334021</v>
      </c>
      <c r="Y78" s="15">
        <v>1.9730000000000001</v>
      </c>
      <c r="Z78" s="8">
        <f>Table1123[[#This Row],[Av fy/(b S) (Mpa)]]*Table1123[[#This Row],[d (mm)]]*Table1123[[#This Row],[b (mm)]]</f>
        <v>211955.44400000002</v>
      </c>
      <c r="AA78" s="8">
        <f>Table1123[[#This Row],[d (mm)]]/200</f>
        <v>2.14</v>
      </c>
      <c r="AB78" s="8">
        <f>Table1123[[#This Row],[a/d]]*Table1123[[#This Row],[d]]</f>
        <v>1301.1200000000001</v>
      </c>
      <c r="AC78" s="8">
        <f>Table1123[[#This Row],[d]]</f>
        <v>428</v>
      </c>
      <c r="AD78" s="15">
        <v>466</v>
      </c>
      <c r="AE78" s="15">
        <v>251</v>
      </c>
      <c r="AF78" s="15">
        <v>41.7</v>
      </c>
      <c r="AG78" s="8">
        <f>Table1123[[#This Row],[pho (%)]]/100*Table1123[[#This Row],[b (mm)]]*Table1123[[#This Row],[d (mm)]]</f>
        <v>1095.7655999999999</v>
      </c>
      <c r="AH78" s="15">
        <v>1.02</v>
      </c>
      <c r="AI78" s="8">
        <v>465</v>
      </c>
      <c r="AJ78" s="8">
        <f>(1/3-0.21*(MIN(Table1123[[#This Row],[b (mm)]],AD78)/MAX(Table1123[[#This Row],[b (mm)]],AD78))*(MIN(Table1123[[#This Row],[b (mm)]],AD78)^4/(12*MAX(Table1123[[#This Row],[b (mm)]],AD78)^4)))*MAX(Table1123[[#This Row],[b (mm)]],AD78)*MIN(Table1123[[#This Row],[b (mm)]],AD78)^3</f>
        <v>2450478647.5201311</v>
      </c>
      <c r="AK78" s="8">
        <f>Table1123[[#This Row],[b (mm)]]*AD78^3/12</f>
        <v>2116655724.6666667</v>
      </c>
      <c r="AL78" s="11">
        <v>2600</v>
      </c>
      <c r="AM78" s="14"/>
      <c r="AN78" s="22"/>
      <c r="AO78" s="13"/>
      <c r="AP78" s="13"/>
    </row>
    <row r="79" spans="1:43" x14ac:dyDescent="0.25">
      <c r="A79" s="75" t="s">
        <v>117</v>
      </c>
      <c r="B79" s="7">
        <v>6</v>
      </c>
      <c r="C79" s="3">
        <v>78</v>
      </c>
      <c r="D79" s="15">
        <v>3.04</v>
      </c>
      <c r="E79" s="7">
        <v>263</v>
      </c>
      <c r="F79" s="15">
        <v>428</v>
      </c>
      <c r="G79" s="8">
        <f t="shared" si="36"/>
        <v>342194.56000000006</v>
      </c>
      <c r="H79" s="8">
        <f t="shared" si="37"/>
        <v>6.1384707906886148E-6</v>
      </c>
      <c r="I79" s="8">
        <f>G79/(Table1123[[#This Row],[b (mm)]]*AC79^2)</f>
        <v>7.4423800126596426E-3</v>
      </c>
      <c r="J79" s="8">
        <f t="shared" si="38"/>
        <v>1.5691292457642092</v>
      </c>
      <c r="K79" s="8">
        <f t="shared" si="39"/>
        <v>3.4180245507628485E-6</v>
      </c>
      <c r="L79" s="8">
        <f>E79/(Table1123[[#This Row],[b (mm)]]*AC79)</f>
        <v>2.4481513199538295E-3</v>
      </c>
      <c r="M79" s="8">
        <f>Table1123[[#This Row],[M (KN.mm)]]/(Table1123[[#This Row],[b (mm)]]*Table1123[[#This Row],[d (mm)]])</f>
        <v>3.185338645418327</v>
      </c>
      <c r="N79" s="8">
        <f>Table1123[[#This Row],[M (KN.mm)]]/(Table1123[[#This Row],[b (mm)]]*Table1123[[#This Row],[h (mm)]])</f>
        <v>2.9255900005129702</v>
      </c>
      <c r="O79" s="8">
        <f>Table1123[[#This Row],[M (KN.mm)]]/(Table1123[[#This Row],[b (mm)]]*Table1123[[#This Row],[h (mm)]]*Table1123[[#This Row],[L(mm)]])</f>
        <v>1.1252269232742192E-3</v>
      </c>
      <c r="P79" s="8">
        <f>Table1123[[#This Row],[M (KN.mm)]]/(Table1123[[#This Row],[b (mm)]]*Table1123[[#This Row],[d (mm)]]*Table1123[[#This Row],[L(mm)]])</f>
        <v>1.2251302482378182E-3</v>
      </c>
      <c r="Q79" s="8">
        <f>Table1123[[#This Row],[M (KN.mm)]]/(Table1123[[#This Row],[b (mm)]]*Table1123[[#This Row],[h (mm)]]*Table1123[[#This Row],[L(mm)]]*Table1123[[#This Row],[fc (Mpa)]])</f>
        <v>2.6983859071324201E-5</v>
      </c>
      <c r="R79" s="8">
        <f>Table1123[[#This Row],[M (KN.mm)]]/(Table1123[[#This Row],[b (mm)]]*Table1123[[#This Row],[h (mm)]]*Table1123[[#This Row],[L(mm)]]/2)</f>
        <v>2.2504538465484385E-3</v>
      </c>
      <c r="S79" s="8">
        <f>Table1123[[#This Row],[M (KN.mm)]]/(Table1123[[#This Row],[a (mm)]]*Table1123[[#This Row],[b (mm)]]*Table1123[[#This Row],[h (mm)]]*Table1123[[#This Row],[L(mm)]]/2)</f>
        <v>1.7296282022783741E-6</v>
      </c>
      <c r="T79" s="8">
        <f>G79/($AN$5*AK79*0.001*Table1123[[#This Row],[pho (%)]])</f>
        <v>6.0181086183221713E-6</v>
      </c>
      <c r="U79" s="8">
        <f>Table1123[[#This Row],[M (KN.mm)]]/(Table1123[[#This Row],[b (mm)]]*Table1123[[#This Row],[d (mm)]]*Table1123[[#This Row],[pho (%)]])</f>
        <v>3.1228810249199288</v>
      </c>
      <c r="V79" s="8">
        <f>E79*224.8/(2*SQRT(Table1123[[#This Row],[fc (Mpa)]]*145.037)*Table1123[[#This Row],[b (mm)]]*Table1123[[#This Row],[d (mm)]]*(1/25.4)^2)</f>
        <v>2.2827826913013252</v>
      </c>
      <c r="W79" s="8">
        <f>Table1123[[#This Row],[M (KN.mm)]]/$G$81</f>
        <v>0.77695716395864112</v>
      </c>
      <c r="X79" s="8">
        <f>E79*224.8/(2*SQRT(Table1123[[#This Row],[fc (Mpa)]]*145.037)*Table1123[[#This Row],[b (mm)]]*Table1123[[#This Row],[d (mm)]]*(1/25.4)^2+Table1123[[#This Row],[Av fy d/s (N)]]*0.2248)</f>
        <v>0.80387397683604001</v>
      </c>
      <c r="Y79" s="15">
        <v>1.9730000000000001</v>
      </c>
      <c r="Z79" s="8">
        <f>Table1123[[#This Row],[Av fy/(b S) (Mpa)]]*Table1123[[#This Row],[d (mm)]]*Table1123[[#This Row],[b (mm)]]</f>
        <v>211955.44400000002</v>
      </c>
      <c r="AA79" s="8">
        <f>Table1123[[#This Row],[d (mm)]]/200</f>
        <v>2.14</v>
      </c>
      <c r="AB79" s="8">
        <f>Table1123[[#This Row],[a/d]]*Table1123[[#This Row],[d]]</f>
        <v>1301.1200000000001</v>
      </c>
      <c r="AC79" s="8">
        <f>Table1123[[#This Row],[d]]</f>
        <v>428</v>
      </c>
      <c r="AD79" s="15">
        <v>466</v>
      </c>
      <c r="AE79" s="15">
        <v>251</v>
      </c>
      <c r="AF79" s="15">
        <v>41.7</v>
      </c>
      <c r="AG79" s="8">
        <f>Table1123[[#This Row],[pho (%)]]/100*Table1123[[#This Row],[b (mm)]]*Table1123[[#This Row],[d (mm)]]</f>
        <v>1095.7655999999999</v>
      </c>
      <c r="AH79" s="15">
        <v>1.02</v>
      </c>
      <c r="AI79" s="8">
        <v>465</v>
      </c>
      <c r="AJ79" s="8">
        <f>(1/3-0.21*(MIN(Table1123[[#This Row],[b (mm)]],AD79)/MAX(Table1123[[#This Row],[b (mm)]],AD79))*(MIN(Table1123[[#This Row],[b (mm)]],AD79)^4/(12*MAX(Table1123[[#This Row],[b (mm)]],AD79)^4)))*MAX(Table1123[[#This Row],[b (mm)]],AD79)*MIN(Table1123[[#This Row],[b (mm)]],AD79)^3</f>
        <v>2450478647.5201311</v>
      </c>
      <c r="AK79" s="8">
        <f>Table1123[[#This Row],[b (mm)]]*AD79^3/12</f>
        <v>2116655724.6666667</v>
      </c>
      <c r="AL79" s="11">
        <v>2600</v>
      </c>
      <c r="AM79" s="14"/>
      <c r="AN79" s="22"/>
      <c r="AO79" s="13"/>
      <c r="AP79" s="13"/>
    </row>
    <row r="80" spans="1:43" x14ac:dyDescent="0.25">
      <c r="A80" s="75" t="s">
        <v>117</v>
      </c>
      <c r="B80" s="7">
        <v>7</v>
      </c>
      <c r="C80" s="3">
        <v>79</v>
      </c>
      <c r="D80" s="15">
        <v>3.04</v>
      </c>
      <c r="E80" s="7">
        <v>301</v>
      </c>
      <c r="F80" s="15">
        <v>428</v>
      </c>
      <c r="G80" s="8">
        <f t="shared" si="36"/>
        <v>391637.12000000005</v>
      </c>
      <c r="H80" s="8">
        <f t="shared" si="37"/>
        <v>7.0253981292671982E-6</v>
      </c>
      <c r="I80" s="8">
        <f>G80/(Table1123[[#This Row],[b (mm)]]*AC80^2)</f>
        <v>8.517704881408945E-3</v>
      </c>
      <c r="J80" s="8">
        <f t="shared" si="38"/>
        <v>1.7958475398289997</v>
      </c>
      <c r="K80" s="8">
        <f t="shared" si="39"/>
        <v>3.9118836113293439E-6</v>
      </c>
      <c r="L80" s="8">
        <f>E80/(Table1123[[#This Row],[b (mm)]]*AC80)</f>
        <v>2.801876605726626E-3</v>
      </c>
      <c r="M80" s="8">
        <f>Table1123[[#This Row],[M (KN.mm)]]/(Table1123[[#This Row],[b (mm)]]*Table1123[[#This Row],[d (mm)]])</f>
        <v>3.6455776892430283</v>
      </c>
      <c r="N80" s="8">
        <f>Table1123[[#This Row],[M (KN.mm)]]/(Table1123[[#This Row],[b (mm)]]*Table1123[[#This Row],[h (mm)]])</f>
        <v>3.3482988218798631</v>
      </c>
      <c r="O80" s="8">
        <f>Table1123[[#This Row],[M (KN.mm)]]/(Table1123[[#This Row],[b (mm)]]*Table1123[[#This Row],[h (mm)]]*Table1123[[#This Row],[L(mm)]])</f>
        <v>1.2878072391845628E-3</v>
      </c>
      <c r="P80" s="8">
        <f>Table1123[[#This Row],[M (KN.mm)]]/(Table1123[[#This Row],[b (mm)]]*Table1123[[#This Row],[d (mm)]]*Table1123[[#This Row],[L(mm)]])</f>
        <v>1.4021452650934724E-3</v>
      </c>
      <c r="Q80" s="8">
        <f>Table1123[[#This Row],[M (KN.mm)]]/(Table1123[[#This Row],[b (mm)]]*Table1123[[#This Row],[h (mm)]]*Table1123[[#This Row],[L(mm)]]*Table1123[[#This Row],[fc (Mpa)]])</f>
        <v>3.0882667606344427E-5</v>
      </c>
      <c r="R80" s="8">
        <f>Table1123[[#This Row],[M (KN.mm)]]/(Table1123[[#This Row],[b (mm)]]*Table1123[[#This Row],[h (mm)]]*Table1123[[#This Row],[L(mm)]]/2)</f>
        <v>2.5756144783691255E-3</v>
      </c>
      <c r="S80" s="8">
        <f>Table1123[[#This Row],[M (KN.mm)]]/(Table1123[[#This Row],[a (mm)]]*Table1123[[#This Row],[b (mm)]]*Table1123[[#This Row],[h (mm)]]*Table1123[[#This Row],[L(mm)]]/2)</f>
        <v>1.9795364596417893E-6</v>
      </c>
      <c r="T80" s="8">
        <f>G80/($AN$5*AK80*0.001*Table1123[[#This Row],[pho (%)]])</f>
        <v>6.8876452247717627E-6</v>
      </c>
      <c r="U80" s="8">
        <f>Table1123[[#This Row],[M (KN.mm)]]/(Table1123[[#This Row],[b (mm)]]*Table1123[[#This Row],[d (mm)]]*Table1123[[#This Row],[pho (%)]])</f>
        <v>3.5740957737676751</v>
      </c>
      <c r="V80" s="8">
        <f>E80*224.8/(2*SQRT(Table1123[[#This Row],[fc (Mpa)]]*145.037)*Table1123[[#This Row],[b (mm)]]*Table1123[[#This Row],[d (mm)]]*(1/25.4)^2)</f>
        <v>2.61261441095703</v>
      </c>
      <c r="W80" s="8">
        <f>Table1123[[#This Row],[M (KN.mm)]]/$G$81</f>
        <v>0.8892171344165436</v>
      </c>
      <c r="X80" s="8">
        <f>E80*224.8/(2*SQRT(Table1123[[#This Row],[fc (Mpa)]]*145.037)*Table1123[[#This Row],[b (mm)]]*Table1123[[#This Row],[d (mm)]]*(1/25.4)^2+Table1123[[#This Row],[Av fy d/s (N)]]*0.2248)</f>
        <v>0.9200230685461902</v>
      </c>
      <c r="Y80" s="15">
        <v>1.9730000000000001</v>
      </c>
      <c r="Z80" s="8">
        <f>Table1123[[#This Row],[Av fy/(b S) (Mpa)]]*Table1123[[#This Row],[d (mm)]]*Table1123[[#This Row],[b (mm)]]</f>
        <v>211955.44400000002</v>
      </c>
      <c r="AA80" s="8">
        <f>Table1123[[#This Row],[d (mm)]]/200</f>
        <v>2.14</v>
      </c>
      <c r="AB80" s="8">
        <f>Table1123[[#This Row],[a/d]]*Table1123[[#This Row],[d]]</f>
        <v>1301.1200000000001</v>
      </c>
      <c r="AC80" s="8">
        <f>Table1123[[#This Row],[d]]</f>
        <v>428</v>
      </c>
      <c r="AD80" s="15">
        <v>466</v>
      </c>
      <c r="AE80" s="15">
        <v>251</v>
      </c>
      <c r="AF80" s="15">
        <v>41.7</v>
      </c>
      <c r="AG80" s="8">
        <f>Table1123[[#This Row],[pho (%)]]/100*Table1123[[#This Row],[b (mm)]]*Table1123[[#This Row],[d (mm)]]</f>
        <v>1095.7655999999999</v>
      </c>
      <c r="AH80" s="15">
        <v>1.02</v>
      </c>
      <c r="AI80" s="8">
        <v>465</v>
      </c>
      <c r="AJ80" s="8">
        <f>(1/3-0.21*(MIN(Table1123[[#This Row],[b (mm)]],AD80)/MAX(Table1123[[#This Row],[b (mm)]],AD80))*(MIN(Table1123[[#This Row],[b (mm)]],AD80)^4/(12*MAX(Table1123[[#This Row],[b (mm)]],AD80)^4)))*MAX(Table1123[[#This Row],[b (mm)]],AD80)*MIN(Table1123[[#This Row],[b (mm)]],AD80)^3</f>
        <v>2450478647.5201311</v>
      </c>
      <c r="AK80" s="8">
        <f>Table1123[[#This Row],[b (mm)]]*AD80^3/12</f>
        <v>2116655724.6666667</v>
      </c>
      <c r="AL80" s="11">
        <v>2600</v>
      </c>
      <c r="AM80" s="14"/>
      <c r="AN80" s="22"/>
      <c r="AO80" s="13"/>
      <c r="AP80" s="13"/>
    </row>
    <row r="81" spans="1:42" x14ac:dyDescent="0.25">
      <c r="A81" s="75" t="s">
        <v>117</v>
      </c>
      <c r="B81" s="7">
        <v>8</v>
      </c>
      <c r="C81" s="3">
        <v>80</v>
      </c>
      <c r="D81" s="15">
        <v>3.04</v>
      </c>
      <c r="E81" s="7">
        <v>338.5</v>
      </c>
      <c r="F81" s="15">
        <v>428</v>
      </c>
      <c r="G81" s="8">
        <f t="shared" si="36"/>
        <v>440429.12000000005</v>
      </c>
      <c r="H81" s="8">
        <f t="shared" si="37"/>
        <v>7.9006553712855361E-6</v>
      </c>
      <c r="I81" s="8">
        <f>G81/(Table1123[[#This Row],[b (mm)]]*AC81^2)</f>
        <v>9.5788807387273342E-3</v>
      </c>
      <c r="J81" s="8">
        <f t="shared" si="38"/>
        <v>2.0195826984455696</v>
      </c>
      <c r="K81" s="8">
        <f t="shared" si="39"/>
        <v>4.3992445263620694E-6</v>
      </c>
      <c r="L81" s="8">
        <f>E81/(Table1123[[#This Row],[b (mm)]]*AC81)</f>
        <v>3.1509476114234651E-3</v>
      </c>
      <c r="M81" s="8">
        <f>Table1123[[#This Row],[M (KN.mm)]]/(Table1123[[#This Row],[b (mm)]]*Table1123[[#This Row],[d (mm)]])</f>
        <v>4.0997609561752997</v>
      </c>
      <c r="N81" s="8">
        <f>Table1123[[#This Row],[M (KN.mm)]]/(Table1123[[#This Row],[b (mm)]]*Table1123[[#This Row],[h (mm)]])</f>
        <v>3.7654456850708757</v>
      </c>
      <c r="O81" s="8">
        <f>Table1123[[#This Row],[M (KN.mm)]]/(Table1123[[#This Row],[b (mm)]]*Table1123[[#This Row],[h (mm)]]*Table1123[[#This Row],[L(mm)]])</f>
        <v>1.4482483404118752E-3</v>
      </c>
      <c r="P81" s="8">
        <f>Table1123[[#This Row],[M (KN.mm)]]/(Table1123[[#This Row],[b (mm)]]*Table1123[[#This Row],[d (mm)]]*Table1123[[#This Row],[L(mm)]])</f>
        <v>1.5768311369904998E-3</v>
      </c>
      <c r="Q81" s="8">
        <f>Table1123[[#This Row],[M (KN.mm)]]/(Table1123[[#This Row],[b (mm)]]*Table1123[[#This Row],[h (mm)]]*Table1123[[#This Row],[L(mm)]]*Table1123[[#This Row],[fc (Mpa)]])</f>
        <v>3.4730176029061757E-5</v>
      </c>
      <c r="R81" s="8">
        <f>Table1123[[#This Row],[M (KN.mm)]]/(Table1123[[#This Row],[b (mm)]]*Table1123[[#This Row],[h (mm)]]*Table1123[[#This Row],[L(mm)]]/2)</f>
        <v>2.8964966808237504E-3</v>
      </c>
      <c r="S81" s="8">
        <f>Table1123[[#This Row],[M (KN.mm)]]/(Table1123[[#This Row],[a (mm)]]*Table1123[[#This Row],[b (mm)]]*Table1123[[#This Row],[h (mm)]]*Table1123[[#This Row],[L(mm)]]/2)</f>
        <v>2.2261564504609491E-6</v>
      </c>
      <c r="T81" s="8">
        <f>G81/($AN$5*AK81*0.001*Table1123[[#This Row],[pho (%)]])</f>
        <v>7.7457405600838588E-6</v>
      </c>
      <c r="U81" s="8">
        <f>Table1123[[#This Row],[M (KN.mm)]]/(Table1123[[#This Row],[b (mm)]]*Table1123[[#This Row],[d (mm)]]*Table1123[[#This Row],[pho (%)]])</f>
        <v>4.0193734864463719</v>
      </c>
      <c r="V81" s="8">
        <f>E81*224.8/(2*SQRT(Table1123[[#This Row],[fc (Mpa)]]*145.037)*Table1123[[#This Row],[b (mm)]]*Table1123[[#This Row],[d (mm)]]*(1/25.4)^2)</f>
        <v>2.9381062395646333</v>
      </c>
      <c r="W81" s="8">
        <f>Table1123[[#This Row],[M (KN.mm)]]/$G$81</f>
        <v>1</v>
      </c>
      <c r="X81" s="8">
        <f>E81*224.8/(2*SQRT(Table1123[[#This Row],[fc (Mpa)]]*145.037)*Table1123[[#This Row],[b (mm)]]*Table1123[[#This Row],[d (mm)]]*(1/25.4)^2+Table1123[[#This Row],[Av fy d/s (N)]]*0.2248)</f>
        <v>1.0346438827338384</v>
      </c>
      <c r="Y81" s="15">
        <v>1.9730000000000001</v>
      </c>
      <c r="Z81" s="8">
        <f>Table1123[[#This Row],[Av fy/(b S) (Mpa)]]*Table1123[[#This Row],[d (mm)]]*Table1123[[#This Row],[b (mm)]]</f>
        <v>211955.44400000002</v>
      </c>
      <c r="AA81" s="8">
        <f>Table1123[[#This Row],[d (mm)]]/200</f>
        <v>2.14</v>
      </c>
      <c r="AB81" s="8">
        <f>Table1123[[#This Row],[a/d]]*Table1123[[#This Row],[d]]</f>
        <v>1301.1200000000001</v>
      </c>
      <c r="AC81" s="8">
        <f>Table1123[[#This Row],[d]]</f>
        <v>428</v>
      </c>
      <c r="AD81" s="15">
        <v>466</v>
      </c>
      <c r="AE81" s="15">
        <v>251</v>
      </c>
      <c r="AF81" s="15">
        <v>41.7</v>
      </c>
      <c r="AG81" s="8">
        <f>Table1123[[#This Row],[pho (%)]]/100*Table1123[[#This Row],[b (mm)]]*Table1123[[#This Row],[d (mm)]]</f>
        <v>1095.7655999999999</v>
      </c>
      <c r="AH81" s="15">
        <v>1.02</v>
      </c>
      <c r="AI81" s="8">
        <v>465</v>
      </c>
      <c r="AJ81" s="8">
        <f>(1/3-0.21*(MIN(Table1123[[#This Row],[b (mm)]],AD81)/MAX(Table1123[[#This Row],[b (mm)]],AD81))*(MIN(Table1123[[#This Row],[b (mm)]],AD81)^4/(12*MAX(Table1123[[#This Row],[b (mm)]],AD81)^4)))*MAX(Table1123[[#This Row],[b (mm)]],AD81)*MIN(Table1123[[#This Row],[b (mm)]],AD81)^3</f>
        <v>2450478647.5201311</v>
      </c>
      <c r="AK81" s="8">
        <f>Table1123[[#This Row],[b (mm)]]*AD81^3/12</f>
        <v>2116655724.6666667</v>
      </c>
      <c r="AL81" s="11">
        <v>2600</v>
      </c>
      <c r="AM81" s="14"/>
      <c r="AN81" s="22"/>
      <c r="AO81" s="13"/>
      <c r="AP81" s="13"/>
    </row>
    <row r="82" spans="1:42" x14ac:dyDescent="0.25">
      <c r="A82" s="62" t="s">
        <v>118</v>
      </c>
      <c r="B82" s="7">
        <v>1</v>
      </c>
      <c r="C82" s="3">
        <v>81</v>
      </c>
      <c r="D82" s="15">
        <v>3.03</v>
      </c>
      <c r="E82" s="15">
        <v>102.5</v>
      </c>
      <c r="F82" s="15">
        <v>429</v>
      </c>
      <c r="G82" s="8">
        <f t="shared" ref="G82:G89" si="40">E82*AB82</f>
        <v>133236.67499999999</v>
      </c>
      <c r="H82" s="8">
        <f t="shared" ref="H82:H89" si="41">G82/($AN$5*AK82*0.001)</f>
        <v>5.9606237438645295E-7</v>
      </c>
      <c r="I82" s="8">
        <f>G82/(Table1123[[#This Row],[b (mm)]]*AC82^2)</f>
        <v>7.2395104895104886E-4</v>
      </c>
      <c r="J82" s="8">
        <f t="shared" ref="J82:J89" si="42">G82/(AG82*AI82*AC82*0.001)</f>
        <v>0.15233698397640066</v>
      </c>
      <c r="K82" s="8">
        <f t="shared" ref="K82:K89" si="43">E82/($AN$4*AJ82*0.001)</f>
        <v>9.6265698383975718E-8</v>
      </c>
      <c r="L82" s="8">
        <f>E82/(Table1123[[#This Row],[b (mm)]]*AC82)</f>
        <v>2.3892773892773893E-4</v>
      </c>
      <c r="M82" s="8">
        <f>Table1123[[#This Row],[M (KN.mm)]]/(Table1123[[#This Row],[b (mm)]]*Table1123[[#This Row],[d (mm)]])</f>
        <v>0.31057499999999999</v>
      </c>
      <c r="N82" s="8">
        <f>Table1123[[#This Row],[M (KN.mm)]]/(Table1123[[#This Row],[b (mm)]]*Table1123[[#This Row],[h (mm)]])</f>
        <v>0.28530337259100641</v>
      </c>
      <c r="O82" s="8">
        <f>Table1123[[#This Row],[M (KN.mm)]]/(Table1123[[#This Row],[b (mm)]]*Table1123[[#This Row],[h (mm)]]*Table1123[[#This Row],[L(mm)]])</f>
        <v>1.0973206638115631E-4</v>
      </c>
      <c r="P82" s="8">
        <f>Table1123[[#This Row],[M (KN.mm)]]/(Table1123[[#This Row],[b (mm)]]*Table1123[[#This Row],[d (mm)]]*Table1123[[#This Row],[L(mm)]])</f>
        <v>1.1945192307692306E-4</v>
      </c>
      <c r="Q82" s="8">
        <f>Table1123[[#This Row],[M (KN.mm)]]/(Table1123[[#This Row],[b (mm)]]*Table1123[[#This Row],[h (mm)]]*Table1123[[#This Row],[L(mm)]]*Table1123[[#This Row],[fc (Mpa)]])</f>
        <v>2.6829356083412299E-6</v>
      </c>
      <c r="R82" s="8">
        <f>Table1123[[#This Row],[M (KN.mm)]]/(Table1123[[#This Row],[b (mm)]]*Table1123[[#This Row],[h (mm)]]*Table1123[[#This Row],[L(mm)]]/2)</f>
        <v>2.1946413276231262E-4</v>
      </c>
      <c r="S82" s="8">
        <f>Table1123[[#This Row],[M (KN.mm)]]/(Table1123[[#This Row],[a (mm)]]*Table1123[[#This Row],[b (mm)]]*Table1123[[#This Row],[h (mm)]]*Table1123[[#This Row],[L(mm)]]/2)</f>
        <v>1.688354472080382E-7</v>
      </c>
      <c r="T82" s="8">
        <f>G82/($AN$5*AK82*0.001*Table1123[[#This Row],[pho (%)]])</f>
        <v>5.8323128609241973E-7</v>
      </c>
      <c r="U82" s="8">
        <f>Table1123[[#This Row],[M (KN.mm)]]/(Table1123[[#This Row],[b (mm)]]*Table1123[[#This Row],[d (mm)]]*Table1123[[#This Row],[pho (%)]])</f>
        <v>0.30388943248532285</v>
      </c>
      <c r="V82" s="8">
        <f>E82*224.8/(2*SQRT(Table1123[[#This Row],[fc (Mpa)]]*145.037)*Table1123[[#This Row],[b (mm)]]*Table1123[[#This Row],[d (mm)]]*(1/25.4)^2)</f>
        <v>0.22495686944931914</v>
      </c>
      <c r="W82" s="8">
        <f>Table1123[[#This Row],[M (KN.mm)]]/$G$89</f>
        <v>0.13234344738540993</v>
      </c>
      <c r="X82" s="8">
        <f>E82*224.8/(2*SQRT(Table1123[[#This Row],[fc (Mpa)]]*145.037)*Table1123[[#This Row],[b (mm)]]*Table1123[[#This Row],[d (mm)]]*(1/25.4)^2+Table1123[[#This Row],[Av fy d/s (N)]]*0.2248)</f>
        <v>0.1421254398217642</v>
      </c>
      <c r="Y82" s="15">
        <v>0.61899999999999999</v>
      </c>
      <c r="Z82" s="8">
        <f>Table1123[[#This Row],[Av fy/(b S) (Mpa)]]*Table1123[[#This Row],[d (mm)]]*Table1123[[#This Row],[b (mm)]]</f>
        <v>265551</v>
      </c>
      <c r="AA82" s="8">
        <f>Table1123[[#This Row],[d (mm)]]/200</f>
        <v>2.145</v>
      </c>
      <c r="AB82" s="8">
        <f>Table1123[[#This Row],[a/d]]*Table1123[[#This Row],[d]]</f>
        <v>1299.8699999999999</v>
      </c>
      <c r="AC82" s="8">
        <f>Table1123[[#This Row],[d]]</f>
        <v>429</v>
      </c>
      <c r="AD82" s="15">
        <v>467</v>
      </c>
      <c r="AE82" s="15">
        <v>1000</v>
      </c>
      <c r="AF82" s="15">
        <v>40.9</v>
      </c>
      <c r="AG82" s="8">
        <f>Table1123[[#This Row],[pho (%)]]/100*Table1123[[#This Row],[b (mm)]]*Table1123[[#This Row],[d (mm)]]</f>
        <v>4384.38</v>
      </c>
      <c r="AH82" s="15">
        <v>1.022</v>
      </c>
      <c r="AI82" s="8">
        <v>465</v>
      </c>
      <c r="AJ82" s="8">
        <f>(1/3-0.21*(MIN(Table1123[[#This Row],[b (mm)]],AD82)/MAX(Table1123[[#This Row],[b (mm)]],AD82))*(MIN(Table1123[[#This Row],[b (mm)]],AD82)^4/(12*MAX(Table1123[[#This Row],[b (mm)]],AD82)^4)))*MAX(Table1123[[#This Row],[b (mm)]],AD82)*MIN(Table1123[[#This Row],[b (mm)]],AD82)^3</f>
        <v>33909598797.8046</v>
      </c>
      <c r="AK82" s="8">
        <f>Table1123[[#This Row],[b (mm)]]*AD82^3/12</f>
        <v>8487296916.666667</v>
      </c>
      <c r="AL82" s="15">
        <v>2600</v>
      </c>
      <c r="AM82" s="12"/>
      <c r="AN82" s="6"/>
    </row>
    <row r="83" spans="1:42" x14ac:dyDescent="0.25">
      <c r="A83" s="62" t="s">
        <v>118</v>
      </c>
      <c r="B83" s="7">
        <v>2</v>
      </c>
      <c r="C83" s="3">
        <v>82</v>
      </c>
      <c r="D83" s="15">
        <v>3.03</v>
      </c>
      <c r="E83" s="15">
        <v>251</v>
      </c>
      <c r="F83" s="15">
        <v>429</v>
      </c>
      <c r="G83" s="8">
        <f t="shared" si="40"/>
        <v>326267.37</v>
      </c>
      <c r="H83" s="8">
        <f t="shared" si="41"/>
        <v>1.4596259119121921E-6</v>
      </c>
      <c r="I83" s="8">
        <f>G83/(Table1123[[#This Row],[b (mm)]]*AC83^2)</f>
        <v>1.7727972027972029E-3</v>
      </c>
      <c r="J83" s="8">
        <f t="shared" si="42"/>
        <v>0.37303983393245438</v>
      </c>
      <c r="K83" s="8">
        <f t="shared" si="43"/>
        <v>2.3573356384758933E-7</v>
      </c>
      <c r="L83" s="8">
        <f>E83/(Table1123[[#This Row],[b (mm)]]*AC83)</f>
        <v>5.8508158508158506E-4</v>
      </c>
      <c r="M83" s="8">
        <f>Table1123[[#This Row],[M (KN.mm)]]/(Table1123[[#This Row],[b (mm)]]*Table1123[[#This Row],[d (mm)]])</f>
        <v>0.76053000000000004</v>
      </c>
      <c r="N83" s="8">
        <f>Table1123[[#This Row],[M (KN.mm)]]/(Table1123[[#This Row],[b (mm)]]*Table1123[[#This Row],[h (mm)]])</f>
        <v>0.6986453319057816</v>
      </c>
      <c r="O83" s="8">
        <f>Table1123[[#This Row],[M (KN.mm)]]/(Table1123[[#This Row],[b (mm)]]*Table1123[[#This Row],[h (mm)]]*Table1123[[#This Row],[L(mm)]])</f>
        <v>2.6870974304068525E-4</v>
      </c>
      <c r="P83" s="8">
        <f>Table1123[[#This Row],[M (KN.mm)]]/(Table1123[[#This Row],[b (mm)]]*Table1123[[#This Row],[d (mm)]]*Table1123[[#This Row],[L(mm)]])</f>
        <v>2.9251153846153845E-4</v>
      </c>
      <c r="Q83" s="8">
        <f>Table1123[[#This Row],[M (KN.mm)]]/(Table1123[[#This Row],[b (mm)]]*Table1123[[#This Row],[h (mm)]]*Table1123[[#This Row],[L(mm)]]*Table1123[[#This Row],[fc (Mpa)]])</f>
        <v>6.5699203677429151E-6</v>
      </c>
      <c r="R83" s="8">
        <f>Table1123[[#This Row],[M (KN.mm)]]/(Table1123[[#This Row],[b (mm)]]*Table1123[[#This Row],[h (mm)]]*Table1123[[#This Row],[L(mm)]]/2)</f>
        <v>5.3741948608137049E-4</v>
      </c>
      <c r="S83" s="8">
        <f>Table1123[[#This Row],[M (KN.mm)]]/(Table1123[[#This Row],[a (mm)]]*Table1123[[#This Row],[b (mm)]]*Table1123[[#This Row],[h (mm)]]*Table1123[[#This Row],[L(mm)]]/2)</f>
        <v>4.1344094877285454E-7</v>
      </c>
      <c r="T83" s="8">
        <f>G83/($AN$5*AK83*0.001*Table1123[[#This Row],[pho (%)]])</f>
        <v>1.4282053932604619E-6</v>
      </c>
      <c r="U83" s="8">
        <f>Table1123[[#This Row],[M (KN.mm)]]/(Table1123[[#This Row],[b (mm)]]*Table1123[[#This Row],[d (mm)]]*Table1123[[#This Row],[pho (%)]])</f>
        <v>0.74415851272015654</v>
      </c>
      <c r="V83" s="8">
        <f>E83*224.8/(2*SQRT(Table1123[[#This Row],[fc (Mpa)]]*145.037)*Table1123[[#This Row],[b (mm)]]*Table1123[[#This Row],[d (mm)]]*(1/25.4)^2)</f>
        <v>0.550869992505162</v>
      </c>
      <c r="W83" s="8">
        <f>Table1123[[#This Row],[M (KN.mm)]]/$G$89</f>
        <v>0.32408005164622339</v>
      </c>
      <c r="X83" s="8">
        <f>E83*224.8/(2*SQRT(Table1123[[#This Row],[fc (Mpa)]]*145.037)*Table1123[[#This Row],[b (mm)]]*Table1123[[#This Row],[d (mm)]]*(1/25.4)^2+Table1123[[#This Row],[Av fy d/s (N)]]*0.2248)</f>
        <v>0.34803400385622257</v>
      </c>
      <c r="Y83" s="15">
        <v>0.61899999999999999</v>
      </c>
      <c r="Z83" s="8">
        <f>Table1123[[#This Row],[Av fy/(b S) (Mpa)]]*Table1123[[#This Row],[d (mm)]]*Table1123[[#This Row],[b (mm)]]</f>
        <v>265551</v>
      </c>
      <c r="AA83" s="8">
        <f>Table1123[[#This Row],[d (mm)]]/200</f>
        <v>2.145</v>
      </c>
      <c r="AB83" s="8">
        <f>Table1123[[#This Row],[a/d]]*Table1123[[#This Row],[d]]</f>
        <v>1299.8699999999999</v>
      </c>
      <c r="AC83" s="8">
        <f>Table1123[[#This Row],[d]]</f>
        <v>429</v>
      </c>
      <c r="AD83" s="15">
        <v>467</v>
      </c>
      <c r="AE83" s="15">
        <v>1000</v>
      </c>
      <c r="AF83" s="15">
        <v>40.9</v>
      </c>
      <c r="AG83" s="8">
        <f>Table1123[[#This Row],[pho (%)]]/100*Table1123[[#This Row],[b (mm)]]*Table1123[[#This Row],[d (mm)]]</f>
        <v>4384.38</v>
      </c>
      <c r="AH83" s="15">
        <v>1.022</v>
      </c>
      <c r="AI83" s="8">
        <v>465</v>
      </c>
      <c r="AJ83" s="8">
        <f>(1/3-0.21*(MIN(Table1123[[#This Row],[b (mm)]],AD83)/MAX(Table1123[[#This Row],[b (mm)]],AD83))*(MIN(Table1123[[#This Row],[b (mm)]],AD83)^4/(12*MAX(Table1123[[#This Row],[b (mm)]],AD83)^4)))*MAX(Table1123[[#This Row],[b (mm)]],AD83)*MIN(Table1123[[#This Row],[b (mm)]],AD83)^3</f>
        <v>33909598797.8046</v>
      </c>
      <c r="AK83" s="8">
        <f>Table1123[[#This Row],[b (mm)]]*AD83^3/12</f>
        <v>8487296916.666667</v>
      </c>
      <c r="AL83" s="15">
        <v>2600</v>
      </c>
      <c r="AM83" s="12"/>
      <c r="AN83" s="6"/>
    </row>
    <row r="84" spans="1:42" x14ac:dyDescent="0.25">
      <c r="A84" s="62" t="s">
        <v>118</v>
      </c>
      <c r="B84" s="7">
        <v>3</v>
      </c>
      <c r="C84" s="3">
        <v>83</v>
      </c>
      <c r="D84" s="15">
        <v>3.03</v>
      </c>
      <c r="E84" s="15">
        <v>375.5</v>
      </c>
      <c r="F84" s="15">
        <v>429</v>
      </c>
      <c r="G84" s="8">
        <f t="shared" si="40"/>
        <v>488101.18499999994</v>
      </c>
      <c r="H84" s="8">
        <f t="shared" si="41"/>
        <v>2.1836236251913471E-6</v>
      </c>
      <c r="I84" s="8">
        <f>G84/(Table1123[[#This Row],[b (mm)]]*AC84^2)</f>
        <v>2.652132867132867E-3</v>
      </c>
      <c r="J84" s="8">
        <f t="shared" si="42"/>
        <v>0.55807353642086299</v>
      </c>
      <c r="K84" s="8">
        <f t="shared" si="43"/>
        <v>3.5266116822617446E-7</v>
      </c>
      <c r="L84" s="8">
        <f>E84/(Table1123[[#This Row],[b (mm)]]*AC84)</f>
        <v>8.7529137529137528E-4</v>
      </c>
      <c r="M84" s="8">
        <f>Table1123[[#This Row],[M (KN.mm)]]/(Table1123[[#This Row],[b (mm)]]*Table1123[[#This Row],[d (mm)]])</f>
        <v>1.1377649999999999</v>
      </c>
      <c r="N84" s="8">
        <f>Table1123[[#This Row],[M (KN.mm)]]/(Table1123[[#This Row],[b (mm)]]*Table1123[[#This Row],[h (mm)]])</f>
        <v>1.0451845503211989</v>
      </c>
      <c r="O84" s="8">
        <f>Table1123[[#This Row],[M (KN.mm)]]/(Table1123[[#This Row],[b (mm)]]*Table1123[[#This Row],[h (mm)]]*Table1123[[#This Row],[L(mm)]])</f>
        <v>4.0199405781584578E-4</v>
      </c>
      <c r="P84" s="8">
        <f>Table1123[[#This Row],[M (KN.mm)]]/(Table1123[[#This Row],[b (mm)]]*Table1123[[#This Row],[d (mm)]]*Table1123[[#This Row],[L(mm)]])</f>
        <v>4.3760192307692303E-4</v>
      </c>
      <c r="Q84" s="8">
        <f>Table1123[[#This Row],[M (KN.mm)]]/(Table1123[[#This Row],[b (mm)]]*Table1123[[#This Row],[h (mm)]]*Table1123[[#This Row],[L(mm)]]*Table1123[[#This Row],[fc (Mpa)]])</f>
        <v>9.8287055700695788E-6</v>
      </c>
      <c r="R84" s="8">
        <f>Table1123[[#This Row],[M (KN.mm)]]/(Table1123[[#This Row],[b (mm)]]*Table1123[[#This Row],[h (mm)]]*Table1123[[#This Row],[L(mm)]]/2)</f>
        <v>8.0398811563169156E-4</v>
      </c>
      <c r="S84" s="8">
        <f>Table1123[[#This Row],[M (KN.mm)]]/(Table1123[[#This Row],[a (mm)]]*Table1123[[#This Row],[b (mm)]]*Table1123[[#This Row],[h (mm)]]*Table1123[[#This Row],[L(mm)]]/2)</f>
        <v>6.1851424806456922E-7</v>
      </c>
      <c r="T84" s="8">
        <f>G84/($AN$5*AK84*0.001*Table1123[[#This Row],[pho (%)]])</f>
        <v>2.136618028562962E-6</v>
      </c>
      <c r="U84" s="8">
        <f>Table1123[[#This Row],[M (KN.mm)]]/(Table1123[[#This Row],[b (mm)]]*Table1123[[#This Row],[d (mm)]]*Table1123[[#This Row],[pho (%)]])</f>
        <v>1.1132729941291584</v>
      </c>
      <c r="V84" s="8">
        <f>E84*224.8/(2*SQRT(Table1123[[#This Row],[fc (Mpa)]]*145.037)*Table1123[[#This Row],[b (mm)]]*Table1123[[#This Row],[d (mm)]]*(1/25.4)^2)</f>
        <v>0.82411028759238392</v>
      </c>
      <c r="W84" s="8">
        <f>Table1123[[#This Row],[M (KN.mm)]]/$G$89</f>
        <v>0.48482892188508714</v>
      </c>
      <c r="X84" s="8">
        <f>E84*224.8/(2*SQRT(Table1123[[#This Row],[fc (Mpa)]]*145.037)*Table1123[[#This Row],[b (mm)]]*Table1123[[#This Row],[d (mm)]]*(1/25.4)^2+Table1123[[#This Row],[Av fy d/s (N)]]*0.2248)</f>
        <v>0.52066441612753622</v>
      </c>
      <c r="Y84" s="15">
        <v>0.61899999999999999</v>
      </c>
      <c r="Z84" s="8">
        <f>Table1123[[#This Row],[Av fy/(b S) (Mpa)]]*Table1123[[#This Row],[d (mm)]]*Table1123[[#This Row],[b (mm)]]</f>
        <v>265551</v>
      </c>
      <c r="AA84" s="8">
        <f>Table1123[[#This Row],[d (mm)]]/200</f>
        <v>2.145</v>
      </c>
      <c r="AB84" s="8">
        <f>Table1123[[#This Row],[a/d]]*Table1123[[#This Row],[d]]</f>
        <v>1299.8699999999999</v>
      </c>
      <c r="AC84" s="8">
        <f>Table1123[[#This Row],[d]]</f>
        <v>429</v>
      </c>
      <c r="AD84" s="15">
        <v>467</v>
      </c>
      <c r="AE84" s="15">
        <v>1000</v>
      </c>
      <c r="AF84" s="15">
        <v>40.9</v>
      </c>
      <c r="AG84" s="8">
        <f>Table1123[[#This Row],[pho (%)]]/100*Table1123[[#This Row],[b (mm)]]*Table1123[[#This Row],[d (mm)]]</f>
        <v>4384.38</v>
      </c>
      <c r="AH84" s="15">
        <v>1.022</v>
      </c>
      <c r="AI84" s="8">
        <v>465</v>
      </c>
      <c r="AJ84" s="8">
        <f>(1/3-0.21*(MIN(Table1123[[#This Row],[b (mm)]],AD84)/MAX(Table1123[[#This Row],[b (mm)]],AD84))*(MIN(Table1123[[#This Row],[b (mm)]],AD84)^4/(12*MAX(Table1123[[#This Row],[b (mm)]],AD84)^4)))*MAX(Table1123[[#This Row],[b (mm)]],AD84)*MIN(Table1123[[#This Row],[b (mm)]],AD84)^3</f>
        <v>33909598797.8046</v>
      </c>
      <c r="AK84" s="8">
        <f>Table1123[[#This Row],[b (mm)]]*AD84^3/12</f>
        <v>8487296916.666667</v>
      </c>
      <c r="AL84" s="15">
        <v>2600</v>
      </c>
      <c r="AM84" s="14"/>
      <c r="AN84" s="22"/>
      <c r="AO84" s="13"/>
      <c r="AP84" s="13"/>
    </row>
    <row r="85" spans="1:42" x14ac:dyDescent="0.25">
      <c r="A85" s="62" t="s">
        <v>118</v>
      </c>
      <c r="B85" s="7">
        <v>4</v>
      </c>
      <c r="C85" s="3">
        <v>84</v>
      </c>
      <c r="D85" s="15">
        <v>3.03</v>
      </c>
      <c r="E85" s="15">
        <v>500.5</v>
      </c>
      <c r="F85" s="15">
        <v>429</v>
      </c>
      <c r="G85" s="8">
        <f t="shared" si="40"/>
        <v>650584.93499999994</v>
      </c>
      <c r="H85" s="8">
        <f t="shared" si="41"/>
        <v>2.9105289598089724E-6</v>
      </c>
      <c r="I85" s="8">
        <f>G85/(Table1123[[#This Row],[b (mm)]]*AC85^2)</f>
        <v>3.5349999999999995E-3</v>
      </c>
      <c r="J85" s="8">
        <f t="shared" si="42"/>
        <v>0.74385034614818091</v>
      </c>
      <c r="K85" s="8">
        <f t="shared" si="43"/>
        <v>4.7005836137736435E-7</v>
      </c>
      <c r="L85" s="8">
        <f>E85/(Table1123[[#This Row],[b (mm)]]*AC85)</f>
        <v>1.1666666666666668E-3</v>
      </c>
      <c r="M85" s="8">
        <f>Table1123[[#This Row],[M (KN.mm)]]/(Table1123[[#This Row],[b (mm)]]*Table1123[[#This Row],[d (mm)]])</f>
        <v>1.5165149999999998</v>
      </c>
      <c r="N85" s="8">
        <f>Table1123[[#This Row],[M (KN.mm)]]/(Table1123[[#This Row],[b (mm)]]*Table1123[[#This Row],[h (mm)]])</f>
        <v>1.3931154925053533</v>
      </c>
      <c r="O85" s="8">
        <f>Table1123[[#This Row],[M (KN.mm)]]/(Table1123[[#This Row],[b (mm)]]*Table1123[[#This Row],[h (mm)]]*Table1123[[#This Row],[L(mm)]])</f>
        <v>5.3581365096359737E-4</v>
      </c>
      <c r="P85" s="8">
        <f>Table1123[[#This Row],[M (KN.mm)]]/(Table1123[[#This Row],[b (mm)]]*Table1123[[#This Row],[d (mm)]]*Table1123[[#This Row],[L(mm)]])</f>
        <v>5.8327499999999996E-4</v>
      </c>
      <c r="Q85" s="8">
        <f>Table1123[[#This Row],[M (KN.mm)]]/(Table1123[[#This Row],[b (mm)]]*Table1123[[#This Row],[h (mm)]]*Table1123[[#This Row],[L(mm)]]*Table1123[[#This Row],[fc (Mpa)]])</f>
        <v>1.310057826316864E-5</v>
      </c>
      <c r="R85" s="8">
        <f>Table1123[[#This Row],[M (KN.mm)]]/(Table1123[[#This Row],[b (mm)]]*Table1123[[#This Row],[h (mm)]]*Table1123[[#This Row],[L(mm)]]/2)</f>
        <v>1.0716273019271947E-3</v>
      </c>
      <c r="S85" s="8">
        <f>Table1123[[#This Row],[M (KN.mm)]]/(Table1123[[#This Row],[a (mm)]]*Table1123[[#This Row],[b (mm)]]*Table1123[[#This Row],[h (mm)]]*Table1123[[#This Row],[L(mm)]]/2)</f>
        <v>8.244111349036402E-7</v>
      </c>
      <c r="T85" s="8">
        <f>G85/($AN$5*AK85*0.001*Table1123[[#This Row],[pho (%)]])</f>
        <v>2.8478756945293274E-6</v>
      </c>
      <c r="U85" s="8">
        <f>Table1123[[#This Row],[M (KN.mm)]]/(Table1123[[#This Row],[b (mm)]]*Table1123[[#This Row],[d (mm)]]*Table1123[[#This Row],[pho (%)]])</f>
        <v>1.4838698630136984</v>
      </c>
      <c r="V85" s="8">
        <f>E85*224.8/(2*SQRT(Table1123[[#This Row],[fc (Mpa)]]*145.037)*Table1123[[#This Row],[b (mm)]]*Table1123[[#This Row],[d (mm)]]*(1/25.4)^2)</f>
        <v>1.0984479332622852</v>
      </c>
      <c r="W85" s="8">
        <f>Table1123[[#This Row],[M (KN.mm)]]/$G$89</f>
        <v>0.64622336991607487</v>
      </c>
      <c r="X85" s="8">
        <f>E85*224.8/(2*SQRT(Table1123[[#This Row],[fc (Mpa)]]*145.037)*Table1123[[#This Row],[b (mm)]]*Table1123[[#This Row],[d (mm)]]*(1/25.4)^2+Table1123[[#This Row],[Av fy d/s (N)]]*0.2248)</f>
        <v>0.69398812322724868</v>
      </c>
      <c r="Y85" s="15">
        <v>0.61899999999999999</v>
      </c>
      <c r="Z85" s="8">
        <f>Table1123[[#This Row],[Av fy/(b S) (Mpa)]]*Table1123[[#This Row],[d (mm)]]*Table1123[[#This Row],[b (mm)]]</f>
        <v>265551</v>
      </c>
      <c r="AA85" s="8">
        <f>Table1123[[#This Row],[d (mm)]]/200</f>
        <v>2.145</v>
      </c>
      <c r="AB85" s="8">
        <f>Table1123[[#This Row],[a/d]]*Table1123[[#This Row],[d]]</f>
        <v>1299.8699999999999</v>
      </c>
      <c r="AC85" s="8">
        <f>Table1123[[#This Row],[d]]</f>
        <v>429</v>
      </c>
      <c r="AD85" s="15">
        <v>467</v>
      </c>
      <c r="AE85" s="15">
        <v>1000</v>
      </c>
      <c r="AF85" s="15">
        <v>40.9</v>
      </c>
      <c r="AG85" s="8">
        <f>Table1123[[#This Row],[pho (%)]]/100*Table1123[[#This Row],[b (mm)]]*Table1123[[#This Row],[d (mm)]]</f>
        <v>4384.38</v>
      </c>
      <c r="AH85" s="15">
        <v>1.022</v>
      </c>
      <c r="AI85" s="8">
        <v>465</v>
      </c>
      <c r="AJ85" s="8">
        <f>(1/3-0.21*(MIN(Table1123[[#This Row],[b (mm)]],AD85)/MAX(Table1123[[#This Row],[b (mm)]],AD85))*(MIN(Table1123[[#This Row],[b (mm)]],AD85)^4/(12*MAX(Table1123[[#This Row],[b (mm)]],AD85)^4)))*MAX(Table1123[[#This Row],[b (mm)]],AD85)*MIN(Table1123[[#This Row],[b (mm)]],AD85)^3</f>
        <v>33909598797.8046</v>
      </c>
      <c r="AK85" s="8">
        <f>Table1123[[#This Row],[b (mm)]]*AD85^3/12</f>
        <v>8487296916.666667</v>
      </c>
      <c r="AL85" s="15">
        <v>2600</v>
      </c>
      <c r="AM85" s="14"/>
      <c r="AN85" s="22"/>
      <c r="AO85" s="13"/>
      <c r="AP85" s="13"/>
    </row>
    <row r="86" spans="1:42" x14ac:dyDescent="0.25">
      <c r="A86" s="62" t="s">
        <v>118</v>
      </c>
      <c r="B86" s="7">
        <v>5</v>
      </c>
      <c r="C86" s="3">
        <v>85</v>
      </c>
      <c r="D86" s="15">
        <v>3.03</v>
      </c>
      <c r="E86" s="15">
        <v>534</v>
      </c>
      <c r="F86" s="15">
        <v>429</v>
      </c>
      <c r="G86" s="8">
        <f t="shared" si="40"/>
        <v>694130.58</v>
      </c>
      <c r="H86" s="8">
        <f t="shared" si="41"/>
        <v>3.1053395894864964E-6</v>
      </c>
      <c r="I86" s="8">
        <f>G86/(Table1123[[#This Row],[b (mm)]]*AC86^2)</f>
        <v>3.7716083916083912E-3</v>
      </c>
      <c r="J86" s="8">
        <f t="shared" si="42"/>
        <v>0.79363853115510208</v>
      </c>
      <c r="K86" s="8">
        <f t="shared" si="43"/>
        <v>5.0152080914188329E-7</v>
      </c>
      <c r="L86" s="8">
        <f>E86/(Table1123[[#This Row],[b (mm)]]*AC86)</f>
        <v>1.2447552447552447E-3</v>
      </c>
      <c r="M86" s="8">
        <f>Table1123[[#This Row],[M (KN.mm)]]/(Table1123[[#This Row],[b (mm)]]*Table1123[[#This Row],[d (mm)]])</f>
        <v>1.6180199999999998</v>
      </c>
      <c r="N86" s="8">
        <f>Table1123[[#This Row],[M (KN.mm)]]/(Table1123[[#This Row],[b (mm)]]*Table1123[[#This Row],[h (mm)]])</f>
        <v>1.4863609850107065</v>
      </c>
      <c r="O86" s="8">
        <f>Table1123[[#This Row],[M (KN.mm)]]/(Table1123[[#This Row],[b (mm)]]*Table1123[[#This Row],[h (mm)]]*Table1123[[#This Row],[L(mm)]])</f>
        <v>5.7167730192719487E-4</v>
      </c>
      <c r="P86" s="8">
        <f>Table1123[[#This Row],[M (KN.mm)]]/(Table1123[[#This Row],[b (mm)]]*Table1123[[#This Row],[d (mm)]]*Table1123[[#This Row],[L(mm)]])</f>
        <v>6.2231538461538459E-4</v>
      </c>
      <c r="Q86" s="8">
        <f>Table1123[[#This Row],[M (KN.mm)]]/(Table1123[[#This Row],[b (mm)]]*Table1123[[#This Row],[h (mm)]]*Table1123[[#This Row],[L(mm)]]*Table1123[[#This Row],[fc (Mpa)]])</f>
        <v>1.3977440144919189E-5</v>
      </c>
      <c r="R86" s="8">
        <f>Table1123[[#This Row],[M (KN.mm)]]/(Table1123[[#This Row],[b (mm)]]*Table1123[[#This Row],[h (mm)]]*Table1123[[#This Row],[L(mm)]]/2)</f>
        <v>1.1433546038543897E-3</v>
      </c>
      <c r="S86" s="8">
        <f>Table1123[[#This Row],[M (KN.mm)]]/(Table1123[[#This Row],[a (mm)]]*Table1123[[#This Row],[b (mm)]]*Table1123[[#This Row],[h (mm)]]*Table1123[[#This Row],[L(mm)]]/2)</f>
        <v>8.7959150057651126E-7</v>
      </c>
      <c r="T86" s="8">
        <f>G86/($AN$5*AK86*0.001*Table1123[[#This Row],[pho (%)]])</f>
        <v>3.0384927490083133E-6</v>
      </c>
      <c r="U86" s="8">
        <f>Table1123[[#This Row],[M (KN.mm)]]/(Table1123[[#This Row],[b (mm)]]*Table1123[[#This Row],[d (mm)]]*Table1123[[#This Row],[pho (%)]])</f>
        <v>1.5831898238747553</v>
      </c>
      <c r="V86" s="8">
        <f>E86*224.8/(2*SQRT(Table1123[[#This Row],[fc (Mpa)]]*145.037)*Table1123[[#This Row],[b (mm)]]*Table1123[[#This Row],[d (mm)]]*(1/25.4)^2)</f>
        <v>1.1719704223018188</v>
      </c>
      <c r="W86" s="8">
        <f>Table1123[[#This Row],[M (KN.mm)]]/$G$89</f>
        <v>0.68947708198837965</v>
      </c>
      <c r="X86" s="8">
        <f>E86*224.8/(2*SQRT(Table1123[[#This Row],[fc (Mpa)]]*145.037)*Table1123[[#This Row],[b (mm)]]*Table1123[[#This Row],[d (mm)]]*(1/25.4)^2+Table1123[[#This Row],[Av fy d/s (N)]]*0.2248)</f>
        <v>0.74043887672997155</v>
      </c>
      <c r="Y86" s="15">
        <v>0.61899999999999999</v>
      </c>
      <c r="Z86" s="8">
        <f>Table1123[[#This Row],[Av fy/(b S) (Mpa)]]*Table1123[[#This Row],[d (mm)]]*Table1123[[#This Row],[b (mm)]]</f>
        <v>265551</v>
      </c>
      <c r="AA86" s="8">
        <f>Table1123[[#This Row],[d (mm)]]/200</f>
        <v>2.145</v>
      </c>
      <c r="AB86" s="8">
        <f>Table1123[[#This Row],[a/d]]*Table1123[[#This Row],[d]]</f>
        <v>1299.8699999999999</v>
      </c>
      <c r="AC86" s="8">
        <f>Table1123[[#This Row],[d]]</f>
        <v>429</v>
      </c>
      <c r="AD86" s="15">
        <v>467</v>
      </c>
      <c r="AE86" s="15">
        <v>1000</v>
      </c>
      <c r="AF86" s="15">
        <v>40.9</v>
      </c>
      <c r="AG86" s="8">
        <f>Table1123[[#This Row],[pho (%)]]/100*Table1123[[#This Row],[b (mm)]]*Table1123[[#This Row],[d (mm)]]</f>
        <v>4384.38</v>
      </c>
      <c r="AH86" s="15">
        <v>1.022</v>
      </c>
      <c r="AI86" s="8">
        <v>465</v>
      </c>
      <c r="AJ86" s="8">
        <f>(1/3-0.21*(MIN(Table1123[[#This Row],[b (mm)]],AD86)/MAX(Table1123[[#This Row],[b (mm)]],AD86))*(MIN(Table1123[[#This Row],[b (mm)]],AD86)^4/(12*MAX(Table1123[[#This Row],[b (mm)]],AD86)^4)))*MAX(Table1123[[#This Row],[b (mm)]],AD86)*MIN(Table1123[[#This Row],[b (mm)]],AD86)^3</f>
        <v>33909598797.8046</v>
      </c>
      <c r="AK86" s="8">
        <f>Table1123[[#This Row],[b (mm)]]*AD86^3/12</f>
        <v>8487296916.666667</v>
      </c>
      <c r="AL86" s="15">
        <v>2600</v>
      </c>
      <c r="AM86" s="14"/>
      <c r="AN86" s="22"/>
      <c r="AO86" s="13"/>
      <c r="AP86" s="13"/>
    </row>
    <row r="87" spans="1:42" x14ac:dyDescent="0.25">
      <c r="A87" s="62" t="s">
        <v>118</v>
      </c>
      <c r="B87" s="7">
        <v>6</v>
      </c>
      <c r="C87" s="3">
        <v>86</v>
      </c>
      <c r="D87" s="15">
        <v>3.03</v>
      </c>
      <c r="E87" s="15">
        <v>624.5</v>
      </c>
      <c r="F87" s="15">
        <v>429</v>
      </c>
      <c r="G87" s="8">
        <f t="shared" si="40"/>
        <v>811768.81499999994</v>
      </c>
      <c r="H87" s="8">
        <f t="shared" si="41"/>
        <v>3.631619051749657E-6</v>
      </c>
      <c r="I87" s="8">
        <f>G87/(Table1123[[#This Row],[b (mm)]]*AC87^2)</f>
        <v>4.4108041958041957E-3</v>
      </c>
      <c r="J87" s="8">
        <f t="shared" si="42"/>
        <v>0.92814094139768022</v>
      </c>
      <c r="K87" s="8">
        <f t="shared" si="43"/>
        <v>5.8651637698334471E-7</v>
      </c>
      <c r="L87" s="8">
        <f>E87/(Table1123[[#This Row],[b (mm)]]*AC87)</f>
        <v>1.4557109557109557E-3</v>
      </c>
      <c r="M87" s="8">
        <f>Table1123[[#This Row],[M (KN.mm)]]/(Table1123[[#This Row],[b (mm)]]*Table1123[[#This Row],[d (mm)]])</f>
        <v>1.8922349999999999</v>
      </c>
      <c r="N87" s="8">
        <f>Table1123[[#This Row],[M (KN.mm)]]/(Table1123[[#This Row],[b (mm)]]*Table1123[[#This Row],[h (mm)]])</f>
        <v>1.7382629871520341</v>
      </c>
      <c r="O87" s="8">
        <f>Table1123[[#This Row],[M (KN.mm)]]/(Table1123[[#This Row],[b (mm)]]*Table1123[[#This Row],[h (mm)]]*Table1123[[#This Row],[L(mm)]])</f>
        <v>6.6856268736616696E-4</v>
      </c>
      <c r="P87" s="8">
        <f>Table1123[[#This Row],[M (KN.mm)]]/(Table1123[[#This Row],[b (mm)]]*Table1123[[#This Row],[d (mm)]]*Table1123[[#This Row],[L(mm)]])</f>
        <v>7.2778269230769225E-4</v>
      </c>
      <c r="Q87" s="8">
        <f>Table1123[[#This Row],[M (KN.mm)]]/(Table1123[[#This Row],[b (mm)]]*Table1123[[#This Row],[h (mm)]]*Table1123[[#This Row],[L(mm)]]*Table1123[[#This Row],[fc (Mpa)]])</f>
        <v>1.6346275974722908E-5</v>
      </c>
      <c r="R87" s="8">
        <f>Table1123[[#This Row],[M (KN.mm)]]/(Table1123[[#This Row],[b (mm)]]*Table1123[[#This Row],[h (mm)]]*Table1123[[#This Row],[L(mm)]]/2)</f>
        <v>1.3371253747323339E-3</v>
      </c>
      <c r="S87" s="8">
        <f>Table1123[[#This Row],[M (KN.mm)]]/(Table1123[[#This Row],[a (mm)]]*Table1123[[#This Row],[b (mm)]]*Table1123[[#This Row],[h (mm)]]*Table1123[[#This Row],[L(mm)]]/2)</f>
        <v>1.0286608466479987E-6</v>
      </c>
      <c r="T87" s="8">
        <f>G87/($AN$5*AK87*0.001*Table1123[[#This Row],[pho (%)]])</f>
        <v>3.5534432991679617E-6</v>
      </c>
      <c r="U87" s="8">
        <f>Table1123[[#This Row],[M (KN.mm)]]/(Table1123[[#This Row],[b (mm)]]*Table1123[[#This Row],[d (mm)]]*Table1123[[#This Row],[pho (%)]])</f>
        <v>1.8515019569471622</v>
      </c>
      <c r="V87" s="8">
        <f>E87*224.8/(2*SQRT(Table1123[[#This Row],[fc (Mpa)]]*145.037)*Table1123[[#This Row],[b (mm)]]*Table1123[[#This Row],[d (mm)]]*(1/25.4)^2)</f>
        <v>1.3705908777668274</v>
      </c>
      <c r="W87" s="8">
        <f>Table1123[[#This Row],[M (KN.mm)]]/$G$89</f>
        <v>0.80632666236281469</v>
      </c>
      <c r="X87" s="8">
        <f>E87*224.8/(2*SQRT(Table1123[[#This Row],[fc (Mpa)]]*145.037)*Table1123[[#This Row],[b (mm)]]*Table1123[[#This Row],[d (mm)]]*(1/25.4)^2+Table1123[[#This Row],[Av fy d/s (N)]]*0.2248)</f>
        <v>0.8659252406701633</v>
      </c>
      <c r="Y87" s="15">
        <v>0.61899999999999999</v>
      </c>
      <c r="Z87" s="8">
        <f>Table1123[[#This Row],[Av fy/(b S) (Mpa)]]*Table1123[[#This Row],[d (mm)]]*Table1123[[#This Row],[b (mm)]]</f>
        <v>265551</v>
      </c>
      <c r="AA87" s="8">
        <f>Table1123[[#This Row],[d (mm)]]/200</f>
        <v>2.145</v>
      </c>
      <c r="AB87" s="8">
        <f>Table1123[[#This Row],[a/d]]*Table1123[[#This Row],[d]]</f>
        <v>1299.8699999999999</v>
      </c>
      <c r="AC87" s="8">
        <f>Table1123[[#This Row],[d]]</f>
        <v>429</v>
      </c>
      <c r="AD87" s="15">
        <v>467</v>
      </c>
      <c r="AE87" s="15">
        <v>1000</v>
      </c>
      <c r="AF87" s="15">
        <v>40.9</v>
      </c>
      <c r="AG87" s="8">
        <f>Table1123[[#This Row],[pho (%)]]/100*Table1123[[#This Row],[b (mm)]]*Table1123[[#This Row],[d (mm)]]</f>
        <v>4384.38</v>
      </c>
      <c r="AH87" s="15">
        <v>1.022</v>
      </c>
      <c r="AI87" s="8">
        <v>465</v>
      </c>
      <c r="AJ87" s="8">
        <f>(1/3-0.21*(MIN(Table1123[[#This Row],[b (mm)]],AD87)/MAX(Table1123[[#This Row],[b (mm)]],AD87))*(MIN(Table1123[[#This Row],[b (mm)]],AD87)^4/(12*MAX(Table1123[[#This Row],[b (mm)]],AD87)^4)))*MAX(Table1123[[#This Row],[b (mm)]],AD87)*MIN(Table1123[[#This Row],[b (mm)]],AD87)^3</f>
        <v>33909598797.8046</v>
      </c>
      <c r="AK87" s="8">
        <f>Table1123[[#This Row],[b (mm)]]*AD87^3/12</f>
        <v>8487296916.666667</v>
      </c>
      <c r="AL87" s="15">
        <v>2600</v>
      </c>
      <c r="AM87" s="14"/>
      <c r="AN87" s="22"/>
      <c r="AO87" s="13"/>
      <c r="AP87" s="13"/>
    </row>
    <row r="88" spans="1:42" x14ac:dyDescent="0.25">
      <c r="A88" s="62" t="s">
        <v>118</v>
      </c>
      <c r="B88" s="7">
        <v>7</v>
      </c>
      <c r="C88" s="3">
        <v>87</v>
      </c>
      <c r="D88" s="15">
        <v>3.03</v>
      </c>
      <c r="E88" s="15">
        <v>701</v>
      </c>
      <c r="F88" s="15">
        <v>429</v>
      </c>
      <c r="G88" s="8">
        <f t="shared" si="40"/>
        <v>911208.86999999988</v>
      </c>
      <c r="H88" s="8">
        <f t="shared" si="41"/>
        <v>4.0764851165356438E-6</v>
      </c>
      <c r="I88" s="8">
        <f>G88/(Table1123[[#This Row],[b (mm)]]*AC88^2)</f>
        <v>4.9511188811188801E-3</v>
      </c>
      <c r="J88" s="8">
        <f t="shared" si="42"/>
        <v>1.0418363489507987</v>
      </c>
      <c r="K88" s="8">
        <f t="shared" si="43"/>
        <v>6.58363459191873E-7</v>
      </c>
      <c r="L88" s="8">
        <f>E88/(Table1123[[#This Row],[b (mm)]]*AC88)</f>
        <v>1.634032634032634E-3</v>
      </c>
      <c r="M88" s="8">
        <f>Table1123[[#This Row],[M (KN.mm)]]/(Table1123[[#This Row],[b (mm)]]*Table1123[[#This Row],[d (mm)]])</f>
        <v>2.1240299999999999</v>
      </c>
      <c r="N88" s="8">
        <f>Table1123[[#This Row],[M (KN.mm)]]/(Table1123[[#This Row],[b (mm)]]*Table1123[[#This Row],[h (mm)]])</f>
        <v>1.9511967237687364</v>
      </c>
      <c r="O88" s="8">
        <f>Table1123[[#This Row],[M (KN.mm)]]/(Table1123[[#This Row],[b (mm)]]*Table1123[[#This Row],[h (mm)]]*Table1123[[#This Row],[L(mm)]])</f>
        <v>7.5046027837259092E-4</v>
      </c>
      <c r="P88" s="8">
        <f>Table1123[[#This Row],[M (KN.mm)]]/(Table1123[[#This Row],[b (mm)]]*Table1123[[#This Row],[d (mm)]]*Table1123[[#This Row],[L(mm)]])</f>
        <v>8.1693461538461529E-4</v>
      </c>
      <c r="Q88" s="8">
        <f>Table1123[[#This Row],[M (KN.mm)]]/(Table1123[[#This Row],[b (mm)]]*Table1123[[#This Row],[h (mm)]]*Table1123[[#This Row],[L(mm)]]*Table1123[[#This Row],[fc (Mpa)]])</f>
        <v>1.8348662062899534E-5</v>
      </c>
      <c r="R88" s="8">
        <f>Table1123[[#This Row],[M (KN.mm)]]/(Table1123[[#This Row],[b (mm)]]*Table1123[[#This Row],[h (mm)]]*Table1123[[#This Row],[L(mm)]]/2)</f>
        <v>1.5009205567451818E-3</v>
      </c>
      <c r="S88" s="8">
        <f>Table1123[[#This Row],[M (KN.mm)]]/(Table1123[[#This Row],[a (mm)]]*Table1123[[#This Row],[b (mm)]]*Table1123[[#This Row],[h (mm)]]*Table1123[[#This Row],[L(mm)]]/2)</f>
        <v>1.1546697413935101E-6</v>
      </c>
      <c r="T88" s="8">
        <f>G88/($AN$5*AK88*0.001*Table1123[[#This Row],[pho (%)]])</f>
        <v>3.9887329907393777E-6</v>
      </c>
      <c r="U88" s="8">
        <f>Table1123[[#This Row],[M (KN.mm)]]/(Table1123[[#This Row],[b (mm)]]*Table1123[[#This Row],[d (mm)]]*Table1123[[#This Row],[pho (%)]])</f>
        <v>2.0783072407045009</v>
      </c>
      <c r="V88" s="8">
        <f>E88*224.8/(2*SQRT(Table1123[[#This Row],[fc (Mpa)]]*145.037)*Table1123[[#This Row],[b (mm)]]*Table1123[[#This Row],[d (mm)]]*(1/25.4)^2)</f>
        <v>1.5384855169168072</v>
      </c>
      <c r="W88" s="8">
        <f>Table1123[[#This Row],[M (KN.mm)]]/$G$89</f>
        <v>0.90510006455777914</v>
      </c>
      <c r="X88" s="8">
        <f>E88*224.8/(2*SQRT(Table1123[[#This Row],[fc (Mpa)]]*145.037)*Table1123[[#This Row],[b (mm)]]*Table1123[[#This Row],[d (mm)]]*(1/25.4)^2+Table1123[[#This Row],[Av fy d/s (N)]]*0.2248)</f>
        <v>0.9719993494151874</v>
      </c>
      <c r="Y88" s="15">
        <v>0.61899999999999999</v>
      </c>
      <c r="Z88" s="8">
        <f>Table1123[[#This Row],[Av fy/(b S) (Mpa)]]*Table1123[[#This Row],[d (mm)]]*Table1123[[#This Row],[b (mm)]]</f>
        <v>265551</v>
      </c>
      <c r="AA88" s="8">
        <f>Table1123[[#This Row],[d (mm)]]/200</f>
        <v>2.145</v>
      </c>
      <c r="AB88" s="8">
        <f>Table1123[[#This Row],[a/d]]*Table1123[[#This Row],[d]]</f>
        <v>1299.8699999999999</v>
      </c>
      <c r="AC88" s="8">
        <f>Table1123[[#This Row],[d]]</f>
        <v>429</v>
      </c>
      <c r="AD88" s="15">
        <v>467</v>
      </c>
      <c r="AE88" s="15">
        <v>1000</v>
      </c>
      <c r="AF88" s="15">
        <v>40.9</v>
      </c>
      <c r="AG88" s="8">
        <f>Table1123[[#This Row],[pho (%)]]/100*Table1123[[#This Row],[b (mm)]]*Table1123[[#This Row],[d (mm)]]</f>
        <v>4384.38</v>
      </c>
      <c r="AH88" s="15">
        <v>1.022</v>
      </c>
      <c r="AI88" s="8">
        <v>465</v>
      </c>
      <c r="AJ88" s="8">
        <f>(1/3-0.21*(MIN(Table1123[[#This Row],[b (mm)]],AD88)/MAX(Table1123[[#This Row],[b (mm)]],AD88))*(MIN(Table1123[[#This Row],[b (mm)]],AD88)^4/(12*MAX(Table1123[[#This Row],[b (mm)]],AD88)^4)))*MAX(Table1123[[#This Row],[b (mm)]],AD88)*MIN(Table1123[[#This Row],[b (mm)]],AD88)^3</f>
        <v>33909598797.8046</v>
      </c>
      <c r="AK88" s="8">
        <f>Table1123[[#This Row],[b (mm)]]*AD88^3/12</f>
        <v>8487296916.666667</v>
      </c>
      <c r="AL88" s="15">
        <v>2600</v>
      </c>
      <c r="AM88" s="14"/>
      <c r="AN88" s="22"/>
      <c r="AO88" s="13"/>
      <c r="AP88" s="13"/>
    </row>
    <row r="89" spans="1:42" x14ac:dyDescent="0.25">
      <c r="A89" s="62" t="s">
        <v>118</v>
      </c>
      <c r="B89" s="7">
        <v>8</v>
      </c>
      <c r="C89" s="3">
        <v>88</v>
      </c>
      <c r="D89" s="15">
        <v>3.03</v>
      </c>
      <c r="E89" s="15">
        <v>774.5</v>
      </c>
      <c r="F89" s="15">
        <v>429</v>
      </c>
      <c r="G89" s="8">
        <f t="shared" si="40"/>
        <v>1006749.3149999999</v>
      </c>
      <c r="H89" s="8">
        <f t="shared" si="41"/>
        <v>4.503905453290808E-6</v>
      </c>
      <c r="I89" s="8">
        <f>G89/(Table1123[[#This Row],[b (mm)]]*AC89^2)</f>
        <v>5.4702447552447547E-3</v>
      </c>
      <c r="J89" s="8">
        <f t="shared" si="42"/>
        <v>1.1510731130704617</v>
      </c>
      <c r="K89" s="8">
        <f t="shared" si="43"/>
        <v>7.2739300876477266E-7</v>
      </c>
      <c r="L89" s="8">
        <f>E89/(Table1123[[#This Row],[b (mm)]]*AC89)</f>
        <v>1.8053613053613054E-3</v>
      </c>
      <c r="M89" s="8">
        <f>Table1123[[#This Row],[M (KN.mm)]]/(Table1123[[#This Row],[b (mm)]]*Table1123[[#This Row],[d (mm)]])</f>
        <v>2.3467349999999998</v>
      </c>
      <c r="N89" s="8">
        <f>Table1123[[#This Row],[M (KN.mm)]]/(Table1123[[#This Row],[b (mm)]]*Table1123[[#This Row],[h (mm)]])</f>
        <v>2.1557801177730194</v>
      </c>
      <c r="O89" s="8">
        <f>Table1123[[#This Row],[M (KN.mm)]]/(Table1123[[#This Row],[b (mm)]]*Table1123[[#This Row],[h (mm)]]*Table1123[[#This Row],[L(mm)]])</f>
        <v>8.2914619914346887E-4</v>
      </c>
      <c r="P89" s="8">
        <f>Table1123[[#This Row],[M (KN.mm)]]/(Table1123[[#This Row],[b (mm)]]*Table1123[[#This Row],[d (mm)]]*Table1123[[#This Row],[L(mm)]])</f>
        <v>9.0259038461538456E-4</v>
      </c>
      <c r="Q89" s="8">
        <f>Table1123[[#This Row],[M (KN.mm)]]/(Table1123[[#This Row],[b (mm)]]*Table1123[[#This Row],[h (mm)]]*Table1123[[#This Row],[L(mm)]]*Table1123[[#This Row],[fc (Mpa)]])</f>
        <v>2.0272523206441783E-5</v>
      </c>
      <c r="R89" s="8">
        <f>Table1123[[#This Row],[M (KN.mm)]]/(Table1123[[#This Row],[b (mm)]]*Table1123[[#This Row],[h (mm)]]*Table1123[[#This Row],[L(mm)]]/2)</f>
        <v>1.6582923982869377E-3</v>
      </c>
      <c r="S89" s="8">
        <f>Table1123[[#This Row],[M (KN.mm)]]/(Table1123[[#This Row],[a (mm)]]*Table1123[[#This Row],[b (mm)]]*Table1123[[#This Row],[h (mm)]]*Table1123[[#This Row],[L(mm)]]/2)</f>
        <v>1.2757371108548837E-6</v>
      </c>
      <c r="T89" s="8">
        <f>G89/($AN$5*AK89*0.001*Table1123[[#This Row],[pho (%)]])</f>
        <v>4.4069524983276008E-6</v>
      </c>
      <c r="U89" s="8">
        <f>Table1123[[#This Row],[M (KN.mm)]]/(Table1123[[#This Row],[b (mm)]]*Table1123[[#This Row],[d (mm)]]*Table1123[[#This Row],[pho (%)]])</f>
        <v>2.2962181996086106</v>
      </c>
      <c r="V89" s="8">
        <f>E89*224.8/(2*SQRT(Table1123[[#This Row],[fc (Mpa)]]*145.037)*Table1123[[#This Row],[b (mm)]]*Table1123[[#This Row],[d (mm)]]*(1/25.4)^2)</f>
        <v>1.6997960525707092</v>
      </c>
      <c r="W89" s="8">
        <f>Table1123[[#This Row],[M (KN.mm)]]/$G$89</f>
        <v>1</v>
      </c>
      <c r="X89" s="8">
        <f>E89*224.8/(2*SQRT(Table1123[[#This Row],[fc (Mpa)]]*145.037)*Table1123[[#This Row],[b (mm)]]*Table1123[[#This Row],[d (mm)]]*(1/25.4)^2+Table1123[[#This Row],[Av fy d/s (N)]]*0.2248)</f>
        <v>1.0739136891898182</v>
      </c>
      <c r="Y89" s="15">
        <v>0.61899999999999999</v>
      </c>
      <c r="Z89" s="8">
        <f>Table1123[[#This Row],[Av fy/(b S) (Mpa)]]*Table1123[[#This Row],[d (mm)]]*Table1123[[#This Row],[b (mm)]]</f>
        <v>265551</v>
      </c>
      <c r="AA89" s="8">
        <f>Table1123[[#This Row],[d (mm)]]/200</f>
        <v>2.145</v>
      </c>
      <c r="AB89" s="8">
        <f>Table1123[[#This Row],[a/d]]*Table1123[[#This Row],[d]]</f>
        <v>1299.8699999999999</v>
      </c>
      <c r="AC89" s="8">
        <f>Table1123[[#This Row],[d]]</f>
        <v>429</v>
      </c>
      <c r="AD89" s="15">
        <v>467</v>
      </c>
      <c r="AE89" s="15">
        <v>1000</v>
      </c>
      <c r="AF89" s="15">
        <v>40.9</v>
      </c>
      <c r="AG89" s="8">
        <f>Table1123[[#This Row],[pho (%)]]/100*Table1123[[#This Row],[b (mm)]]*Table1123[[#This Row],[d (mm)]]</f>
        <v>4384.38</v>
      </c>
      <c r="AH89" s="15">
        <v>1.022</v>
      </c>
      <c r="AI89" s="8">
        <v>465</v>
      </c>
      <c r="AJ89" s="8">
        <f>(1/3-0.21*(MIN(Table1123[[#This Row],[b (mm)]],AD89)/MAX(Table1123[[#This Row],[b (mm)]],AD89))*(MIN(Table1123[[#This Row],[b (mm)]],AD89)^4/(12*MAX(Table1123[[#This Row],[b (mm)]],AD89)^4)))*MAX(Table1123[[#This Row],[b (mm)]],AD89)*MIN(Table1123[[#This Row],[b (mm)]],AD89)^3</f>
        <v>33909598797.8046</v>
      </c>
      <c r="AK89" s="8">
        <f>Table1123[[#This Row],[b (mm)]]*AD89^3/12</f>
        <v>8487296916.666667</v>
      </c>
      <c r="AL89" s="15">
        <v>2600</v>
      </c>
      <c r="AM89" s="14"/>
      <c r="AN89" s="22"/>
      <c r="AO89" s="13"/>
      <c r="AP89" s="13"/>
    </row>
    <row r="90" spans="1:42" x14ac:dyDescent="0.25">
      <c r="A90" s="63" t="s">
        <v>119</v>
      </c>
      <c r="B90" s="7">
        <v>1</v>
      </c>
      <c r="C90" s="3">
        <v>89</v>
      </c>
      <c r="D90" s="15">
        <v>3.02</v>
      </c>
      <c r="E90" s="7">
        <v>100.5</v>
      </c>
      <c r="F90" s="15">
        <v>431</v>
      </c>
      <c r="G90" s="8">
        <f t="shared" ref="G90:G98" si="44">E90*AB90</f>
        <v>130812.81000000001</v>
      </c>
      <c r="H90" s="8">
        <f t="shared" ref="H90:H98" si="45">G90/($AN$5*AK90*0.001)</f>
        <v>5.7488933115635989E-7</v>
      </c>
      <c r="I90" s="8">
        <f>G90/(Table1123[[#This Row],[b (mm)]]*AC90^2)</f>
        <v>7.0069605568445477E-4</v>
      </c>
      <c r="J90" s="8">
        <f t="shared" ref="J90:J98" si="46">G90/(AG90*AI90*AC90*0.001)</f>
        <v>0.14890051759200448</v>
      </c>
      <c r="K90" s="8">
        <f t="shared" ref="K90:K98" si="47">E90/($AN$4*AJ90*0.001)</f>
        <v>9.2720978697718456E-8</v>
      </c>
      <c r="L90" s="8">
        <f>E90/(Table1123[[#This Row],[b (mm)]]*AC90)</f>
        <v>2.3201856148491879E-4</v>
      </c>
      <c r="M90" s="8">
        <f>Table1123[[#This Row],[M (KN.mm)]]/(Table1123[[#This Row],[b (mm)]]*Table1123[[#This Row],[d (mm)]])</f>
        <v>0.30200000000000005</v>
      </c>
      <c r="N90" s="8">
        <f>Table1123[[#This Row],[M (KN.mm)]]/(Table1123[[#This Row],[b (mm)]]*Table1123[[#This Row],[h (mm)]])</f>
        <v>0.27753091684434972</v>
      </c>
      <c r="O90" s="8">
        <f>Table1123[[#This Row],[M (KN.mm)]]/(Table1123[[#This Row],[b (mm)]]*Table1123[[#This Row],[h (mm)]]*Table1123[[#This Row],[L(mm)]])</f>
        <v>1.0674266032474989E-4</v>
      </c>
      <c r="P90" s="8">
        <f>Table1123[[#This Row],[M (KN.mm)]]/(Table1123[[#This Row],[b (mm)]]*Table1123[[#This Row],[d (mm)]]*Table1123[[#This Row],[L(mm)]])</f>
        <v>1.1615384615384617E-4</v>
      </c>
      <c r="Q90" s="8">
        <f>Table1123[[#This Row],[M (KN.mm)]]/(Table1123[[#This Row],[b (mm)]]*Table1123[[#This Row],[h (mm)]]*Table1123[[#This Row],[L(mm)]]*Table1123[[#This Row],[fc (Mpa)]])</f>
        <v>2.505696251754692E-6</v>
      </c>
      <c r="R90" s="8">
        <f>Table1123[[#This Row],[M (KN.mm)]]/(Table1123[[#This Row],[b (mm)]]*Table1123[[#This Row],[h (mm)]]*Table1123[[#This Row],[L(mm)]]/2)</f>
        <v>2.1348532064949978E-4</v>
      </c>
      <c r="S90" s="8">
        <f>Table1123[[#This Row],[M (KN.mm)]]/(Table1123[[#This Row],[a (mm)]]*Table1123[[#This Row],[b (mm)]]*Table1123[[#This Row],[h (mm)]]*Table1123[[#This Row],[L(mm)]]/2)</f>
        <v>1.6401508938822372E-7</v>
      </c>
      <c r="T90" s="8">
        <f>G90/($AN$5*AK90*0.001*Table1123[[#This Row],[pho (%)]])</f>
        <v>5.6807246161695642E-7</v>
      </c>
      <c r="U90" s="8">
        <f>Table1123[[#This Row],[M (KN.mm)]]/(Table1123[[#This Row],[b (mm)]]*Table1123[[#This Row],[d (mm)]]*Table1123[[#This Row],[pho (%)]])</f>
        <v>0.29841897233201586</v>
      </c>
      <c r="V90" s="8">
        <f>E90*224.8/(2*SQRT(Table1123[[#This Row],[fc (Mpa)]]*145.037)*Table1123[[#This Row],[b (mm)]]*Table1123[[#This Row],[d (mm)]]*(1/25.4)^2)</f>
        <v>0.21404854040286109</v>
      </c>
      <c r="W90" s="8">
        <f>Table1123[[#This Row],[M (KN.mm)]]/$G$98</f>
        <v>0.11844431349440189</v>
      </c>
      <c r="X90" s="8">
        <f>E90*224.8/(2*SQRT(Table1123[[#This Row],[fc (Mpa)]]*145.037)*Table1123[[#This Row],[b (mm)]]*Table1123[[#This Row],[d (mm)]]*(1/25.4)^2+Table1123[[#This Row],[Av fy d/s (N)]]*0.2248)</f>
        <v>0.12727621563722716</v>
      </c>
      <c r="Y90" s="15">
        <v>0.73899999999999999</v>
      </c>
      <c r="Z90" s="8">
        <f>Table1123[[#This Row],[Av fy/(b S) (Mpa)]]*Table1123[[#This Row],[d (mm)]]*Table1123[[#This Row],[b (mm)]]</f>
        <v>320101.54500000004</v>
      </c>
      <c r="AA90" s="8">
        <f>Table1123[[#This Row],[d (mm)]]/200</f>
        <v>2.1549999999999998</v>
      </c>
      <c r="AB90" s="8">
        <f>Table1123[[#This Row],[a/d]]*Table1123[[#This Row],[d]]</f>
        <v>1301.6200000000001</v>
      </c>
      <c r="AC90" s="8">
        <f>Table1123[[#This Row],[d]]</f>
        <v>431</v>
      </c>
      <c r="AD90" s="15">
        <v>469</v>
      </c>
      <c r="AE90" s="15">
        <v>1005</v>
      </c>
      <c r="AF90" s="15">
        <v>42.6</v>
      </c>
      <c r="AG90" s="8">
        <f>Table1123[[#This Row],[pho (%)]]/100*Table1123[[#This Row],[b (mm)]]*Table1123[[#This Row],[d (mm)]]</f>
        <v>4383.5286000000006</v>
      </c>
      <c r="AH90" s="15">
        <v>1.012</v>
      </c>
      <c r="AI90" s="8">
        <v>465</v>
      </c>
      <c r="AJ90" s="8">
        <f>(1/3-0.21*(MIN(Table1123[[#This Row],[b (mm)]],AD90)/MAX(Table1123[[#This Row],[b (mm)]],AD90))*(MIN(Table1123[[#This Row],[b (mm)]],AD90)^4/(12*MAX(Table1123[[#This Row],[b (mm)]],AD90)^4)))*MAX(Table1123[[#This Row],[b (mm)]],AD90)*MIN(Table1123[[#This Row],[b (mm)]],AD90)^3</f>
        <v>34519015951.175629</v>
      </c>
      <c r="AK90" s="8">
        <f>Table1123[[#This Row],[b (mm)]]*AD90^3/12</f>
        <v>8639793128.75</v>
      </c>
      <c r="AL90" s="15">
        <v>2600</v>
      </c>
      <c r="AM90" s="12"/>
      <c r="AN90" s="6"/>
    </row>
    <row r="91" spans="1:42" x14ac:dyDescent="0.25">
      <c r="A91" s="63" t="s">
        <v>119</v>
      </c>
      <c r="B91" s="7">
        <v>2</v>
      </c>
      <c r="C91" s="3">
        <v>90</v>
      </c>
      <c r="D91" s="15">
        <v>3.02</v>
      </c>
      <c r="E91" s="7">
        <v>249.5</v>
      </c>
      <c r="F91" s="15">
        <v>431</v>
      </c>
      <c r="G91" s="8">
        <f t="shared" si="44"/>
        <v>324754.19</v>
      </c>
      <c r="H91" s="8">
        <f t="shared" si="45"/>
        <v>1.427212817149371E-6</v>
      </c>
      <c r="I91" s="8">
        <f>G91/(Table1123[[#This Row],[b (mm)]]*AC91^2)</f>
        <v>1.7395389641121539E-3</v>
      </c>
      <c r="J91" s="8">
        <f t="shared" si="46"/>
        <v>0.3696584988975633</v>
      </c>
      <c r="K91" s="8">
        <f t="shared" si="47"/>
        <v>2.3018790233911201E-7</v>
      </c>
      <c r="L91" s="8">
        <f>E91/(Table1123[[#This Row],[b (mm)]]*AC91)</f>
        <v>5.7600627950733568E-4</v>
      </c>
      <c r="M91" s="8">
        <f>Table1123[[#This Row],[M (KN.mm)]]/(Table1123[[#This Row],[b (mm)]]*Table1123[[#This Row],[d (mm)]])</f>
        <v>0.74974129353233832</v>
      </c>
      <c r="N91" s="8">
        <f>Table1123[[#This Row],[M (KN.mm)]]/(Table1123[[#This Row],[b (mm)]]*Table1123[[#This Row],[h (mm)]])</f>
        <v>0.68899466420562439</v>
      </c>
      <c r="O91" s="8">
        <f>Table1123[[#This Row],[M (KN.mm)]]/(Table1123[[#This Row],[b (mm)]]*Table1123[[#This Row],[h (mm)]]*Table1123[[#This Row],[L(mm)]])</f>
        <v>2.6499794777139397E-4</v>
      </c>
      <c r="P91" s="8">
        <f>Table1123[[#This Row],[M (KN.mm)]]/(Table1123[[#This Row],[b (mm)]]*Table1123[[#This Row],[d (mm)]]*Table1123[[#This Row],[L(mm)]])</f>
        <v>2.8836203597397625E-4</v>
      </c>
      <c r="Q91" s="8">
        <f>Table1123[[#This Row],[M (KN.mm)]]/(Table1123[[#This Row],[b (mm)]]*Table1123[[#This Row],[h (mm)]]*Table1123[[#This Row],[L(mm)]]*Table1123[[#This Row],[fc (Mpa)]])</f>
        <v>6.2206091026148819E-6</v>
      </c>
      <c r="R91" s="8">
        <f>Table1123[[#This Row],[M (KN.mm)]]/(Table1123[[#This Row],[b (mm)]]*Table1123[[#This Row],[h (mm)]]*Table1123[[#This Row],[L(mm)]]/2)</f>
        <v>5.2999589554278794E-4</v>
      </c>
      <c r="S91" s="8">
        <f>Table1123[[#This Row],[M (KN.mm)]]/(Table1123[[#This Row],[a (mm)]]*Table1123[[#This Row],[b (mm)]]*Table1123[[#This Row],[h (mm)]]*Table1123[[#This Row],[L(mm)]]/2)</f>
        <v>4.0718173932698318E-7</v>
      </c>
      <c r="T91" s="8">
        <f>G91/($AN$5*AK91*0.001*Table1123[[#This Row],[pho (%)]])</f>
        <v>1.4102893450092598E-6</v>
      </c>
      <c r="U91" s="8">
        <f>Table1123[[#This Row],[M (KN.mm)]]/(Table1123[[#This Row],[b (mm)]]*Table1123[[#This Row],[d (mm)]]*Table1123[[#This Row],[pho (%)]])</f>
        <v>0.74085108056555171</v>
      </c>
      <c r="V91" s="8">
        <f>E91*224.8/(2*SQRT(Table1123[[#This Row],[fc (Mpa)]]*145.037)*Table1123[[#This Row],[b (mm)]]*Table1123[[#This Row],[d (mm)]]*(1/25.4)^2)</f>
        <v>0.53139413761705312</v>
      </c>
      <c r="W91" s="8">
        <f>Table1123[[#This Row],[M (KN.mm)]]/$G$98</f>
        <v>0.29404832056570418</v>
      </c>
      <c r="X91" s="8">
        <f>E91*224.8/(2*SQRT(Table1123[[#This Row],[fc (Mpa)]]*145.037)*Table1123[[#This Row],[b (mm)]]*Table1123[[#This Row],[d (mm)]]*(1/25.4)^2+Table1123[[#This Row],[Av fy d/s (N)]]*0.2248)</f>
        <v>0.31597428658197191</v>
      </c>
      <c r="Y91" s="15">
        <v>0.73899999999999999</v>
      </c>
      <c r="Z91" s="8">
        <f>Table1123[[#This Row],[Av fy/(b S) (Mpa)]]*Table1123[[#This Row],[d (mm)]]*Table1123[[#This Row],[b (mm)]]</f>
        <v>320101.54500000004</v>
      </c>
      <c r="AA91" s="8">
        <f>Table1123[[#This Row],[d (mm)]]/200</f>
        <v>2.1549999999999998</v>
      </c>
      <c r="AB91" s="8">
        <f>Table1123[[#This Row],[a/d]]*Table1123[[#This Row],[d]]</f>
        <v>1301.6200000000001</v>
      </c>
      <c r="AC91" s="8">
        <f>Table1123[[#This Row],[d]]</f>
        <v>431</v>
      </c>
      <c r="AD91" s="15">
        <v>469</v>
      </c>
      <c r="AE91" s="15">
        <v>1005</v>
      </c>
      <c r="AF91" s="15">
        <v>42.6</v>
      </c>
      <c r="AG91" s="8">
        <f>Table1123[[#This Row],[pho (%)]]/100*Table1123[[#This Row],[b (mm)]]*Table1123[[#This Row],[d (mm)]]</f>
        <v>4383.5286000000006</v>
      </c>
      <c r="AH91" s="15">
        <v>1.012</v>
      </c>
      <c r="AI91" s="8">
        <v>465</v>
      </c>
      <c r="AJ91" s="8">
        <f>(1/3-0.21*(MIN(Table1123[[#This Row],[b (mm)]],AD91)/MAX(Table1123[[#This Row],[b (mm)]],AD91))*(MIN(Table1123[[#This Row],[b (mm)]],AD91)^4/(12*MAX(Table1123[[#This Row],[b (mm)]],AD91)^4)))*MAX(Table1123[[#This Row],[b (mm)]],AD91)*MIN(Table1123[[#This Row],[b (mm)]],AD91)^3</f>
        <v>34519015951.175629</v>
      </c>
      <c r="AK91" s="8">
        <f>Table1123[[#This Row],[b (mm)]]*AD91^3/12</f>
        <v>8639793128.75</v>
      </c>
      <c r="AL91" s="15">
        <v>2600</v>
      </c>
      <c r="AM91" s="12"/>
      <c r="AN91" s="6"/>
    </row>
    <row r="92" spans="1:42" x14ac:dyDescent="0.25">
      <c r="A92" s="63" t="s">
        <v>119</v>
      </c>
      <c r="B92" s="7">
        <v>3</v>
      </c>
      <c r="C92" s="3">
        <v>91</v>
      </c>
      <c r="D92" s="15">
        <v>3.02</v>
      </c>
      <c r="E92" s="7">
        <v>374.5</v>
      </c>
      <c r="F92" s="15">
        <v>431</v>
      </c>
      <c r="G92" s="8">
        <f t="shared" si="44"/>
        <v>487456.69000000006</v>
      </c>
      <c r="H92" s="8">
        <f t="shared" si="45"/>
        <v>2.1422492986871321E-6</v>
      </c>
      <c r="I92" s="8">
        <f>G92/(Table1123[[#This Row],[b (mm)]]*AC92^2)</f>
        <v>2.6110514711823714E-3</v>
      </c>
      <c r="J92" s="8">
        <f t="shared" si="46"/>
        <v>0.55485814764383756</v>
      </c>
      <c r="K92" s="8">
        <f t="shared" si="47"/>
        <v>3.4551250270940857E-7</v>
      </c>
      <c r="L92" s="8">
        <f>E92/(Table1123[[#This Row],[b (mm)]]*AC92)</f>
        <v>8.6458657986171234E-4</v>
      </c>
      <c r="M92" s="8">
        <f>Table1123[[#This Row],[M (KN.mm)]]/(Table1123[[#This Row],[b (mm)]]*Table1123[[#This Row],[d (mm)]])</f>
        <v>1.1253631840796021</v>
      </c>
      <c r="N92" s="8">
        <f>Table1123[[#This Row],[M (KN.mm)]]/(Table1123[[#This Row],[b (mm)]]*Table1123[[#This Row],[h (mm)]])</f>
        <v>1.0341823717234724</v>
      </c>
      <c r="O92" s="8">
        <f>Table1123[[#This Row],[M (KN.mm)]]/(Table1123[[#This Row],[b (mm)]]*Table1123[[#This Row],[h (mm)]]*Table1123[[#This Row],[L(mm)]])</f>
        <v>3.9776245066287395E-4</v>
      </c>
      <c r="P92" s="8">
        <f>Table1123[[#This Row],[M (KN.mm)]]/(Table1123[[#This Row],[b (mm)]]*Table1123[[#This Row],[d (mm)]]*Table1123[[#This Row],[L(mm)]])</f>
        <v>4.3283199387677006E-4</v>
      </c>
      <c r="Q92" s="8">
        <f>Table1123[[#This Row],[M (KN.mm)]]/(Table1123[[#This Row],[b (mm)]]*Table1123[[#This Row],[h (mm)]]*Table1123[[#This Row],[L(mm)]]*Table1123[[#This Row],[fc (Mpa)]])</f>
        <v>9.3371467291754446E-6</v>
      </c>
      <c r="R92" s="8">
        <f>Table1123[[#This Row],[M (KN.mm)]]/(Table1123[[#This Row],[b (mm)]]*Table1123[[#This Row],[h (mm)]]*Table1123[[#This Row],[L(mm)]]/2)</f>
        <v>7.9552490132574791E-4</v>
      </c>
      <c r="S92" s="8">
        <f>Table1123[[#This Row],[M (KN.mm)]]/(Table1123[[#This Row],[a (mm)]]*Table1123[[#This Row],[b (mm)]]*Table1123[[#This Row],[h (mm)]]*Table1123[[#This Row],[L(mm)]]/2)</f>
        <v>6.1118060672527146E-7</v>
      </c>
      <c r="T92" s="8">
        <f>G92/($AN$5*AK92*0.001*Table1123[[#This Row],[pho (%)]])</f>
        <v>2.1168471330900514E-6</v>
      </c>
      <c r="U92" s="8">
        <f>Table1123[[#This Row],[M (KN.mm)]]/(Table1123[[#This Row],[b (mm)]]*Table1123[[#This Row],[d (mm)]]*Table1123[[#This Row],[pho (%)]])</f>
        <v>1.1120189566003973</v>
      </c>
      <c r="V92" s="8">
        <f>E92*224.8/(2*SQRT(Table1123[[#This Row],[fc (Mpa)]]*145.037)*Table1123[[#This Row],[b (mm)]]*Table1123[[#This Row],[d (mm)]]*(1/25.4)^2)</f>
        <v>0.79762366548130825</v>
      </c>
      <c r="W92" s="8">
        <f>Table1123[[#This Row],[M (KN.mm)]]/$G$98</f>
        <v>0.44136711844431353</v>
      </c>
      <c r="X92" s="8">
        <f>E92*224.8/(2*SQRT(Table1123[[#This Row],[fc (Mpa)]]*145.037)*Table1123[[#This Row],[b (mm)]]*Table1123[[#This Row],[d (mm)]]*(1/25.4)^2+Table1123[[#This Row],[Av fy d/s (N)]]*0.2248)</f>
        <v>0.47427803737454299</v>
      </c>
      <c r="Y92" s="15">
        <v>0.73899999999999999</v>
      </c>
      <c r="Z92" s="8">
        <f>Table1123[[#This Row],[Av fy/(b S) (Mpa)]]*Table1123[[#This Row],[d (mm)]]*Table1123[[#This Row],[b (mm)]]</f>
        <v>320101.54500000004</v>
      </c>
      <c r="AA92" s="8">
        <f>Table1123[[#This Row],[d (mm)]]/200</f>
        <v>2.1549999999999998</v>
      </c>
      <c r="AB92" s="8">
        <f>Table1123[[#This Row],[a/d]]*Table1123[[#This Row],[d]]</f>
        <v>1301.6200000000001</v>
      </c>
      <c r="AC92" s="8">
        <f>Table1123[[#This Row],[d]]</f>
        <v>431</v>
      </c>
      <c r="AD92" s="15">
        <v>469</v>
      </c>
      <c r="AE92" s="15">
        <v>1005</v>
      </c>
      <c r="AF92" s="15">
        <v>42.6</v>
      </c>
      <c r="AG92" s="8">
        <f>Table1123[[#This Row],[pho (%)]]/100*Table1123[[#This Row],[b (mm)]]*Table1123[[#This Row],[d (mm)]]</f>
        <v>4383.5286000000006</v>
      </c>
      <c r="AH92" s="15">
        <v>1.012</v>
      </c>
      <c r="AI92" s="8">
        <v>465</v>
      </c>
      <c r="AJ92" s="8">
        <f>(1/3-0.21*(MIN(Table1123[[#This Row],[b (mm)]],AD92)/MAX(Table1123[[#This Row],[b (mm)]],AD92))*(MIN(Table1123[[#This Row],[b (mm)]],AD92)^4/(12*MAX(Table1123[[#This Row],[b (mm)]],AD92)^4)))*MAX(Table1123[[#This Row],[b (mm)]],AD92)*MIN(Table1123[[#This Row],[b (mm)]],AD92)^3</f>
        <v>34519015951.175629</v>
      </c>
      <c r="AK92" s="8">
        <f>Table1123[[#This Row],[b (mm)]]*AD92^3/12</f>
        <v>8639793128.75</v>
      </c>
      <c r="AL92" s="15">
        <v>2600</v>
      </c>
      <c r="AM92" s="14"/>
      <c r="AN92" s="22"/>
      <c r="AO92" s="13"/>
      <c r="AP92" s="13"/>
    </row>
    <row r="93" spans="1:42" x14ac:dyDescent="0.25">
      <c r="A93" s="63" t="s">
        <v>119</v>
      </c>
      <c r="B93" s="7">
        <v>4</v>
      </c>
      <c r="C93" s="3">
        <v>92</v>
      </c>
      <c r="D93" s="15">
        <v>3.02</v>
      </c>
      <c r="E93" s="7">
        <v>500</v>
      </c>
      <c r="F93" s="15">
        <v>431</v>
      </c>
      <c r="G93" s="8">
        <f t="shared" si="44"/>
        <v>650810.00000000012</v>
      </c>
      <c r="H93" s="8">
        <f t="shared" si="45"/>
        <v>2.8601459261510445E-6</v>
      </c>
      <c r="I93" s="8">
        <f>G93/(Table1123[[#This Row],[b (mm)]]*AC93^2)</f>
        <v>3.4860500282808699E-3</v>
      </c>
      <c r="J93" s="8">
        <f t="shared" si="46"/>
        <v>0.74079859498509693</v>
      </c>
      <c r="K93" s="8">
        <f t="shared" si="47"/>
        <v>4.6129840148118635E-7</v>
      </c>
      <c r="L93" s="8">
        <f>E93/(Table1123[[#This Row],[b (mm)]]*AC93)</f>
        <v>1.1543212014175064E-3</v>
      </c>
      <c r="M93" s="8">
        <f>Table1123[[#This Row],[M (KN.mm)]]/(Table1123[[#This Row],[b (mm)]]*Table1123[[#This Row],[d (mm)]])</f>
        <v>1.502487562189055</v>
      </c>
      <c r="N93" s="8">
        <f>Table1123[[#This Row],[M (KN.mm)]]/(Table1123[[#This Row],[b (mm)]]*Table1123[[#This Row],[h (mm)]])</f>
        <v>1.3807508300713918</v>
      </c>
      <c r="O93" s="8">
        <f>Table1123[[#This Row],[M (KN.mm)]]/(Table1123[[#This Row],[b (mm)]]*Table1123[[#This Row],[h (mm)]]*Table1123[[#This Row],[L(mm)]])</f>
        <v>5.3105801156591993E-4</v>
      </c>
      <c r="P93" s="8">
        <f>Table1123[[#This Row],[M (KN.mm)]]/(Table1123[[#This Row],[b (mm)]]*Table1123[[#This Row],[d (mm)]]*Table1123[[#This Row],[L(mm)]])</f>
        <v>5.77879831611175E-4</v>
      </c>
      <c r="Q93" s="8">
        <f>Table1123[[#This Row],[M (KN.mm)]]/(Table1123[[#This Row],[b (mm)]]*Table1123[[#This Row],[h (mm)]]*Table1123[[#This Row],[L(mm)]]*Table1123[[#This Row],[fc (Mpa)]])</f>
        <v>1.2466150506242251E-5</v>
      </c>
      <c r="R93" s="8">
        <f>Table1123[[#This Row],[M (KN.mm)]]/(Table1123[[#This Row],[b (mm)]]*Table1123[[#This Row],[h (mm)]]*Table1123[[#This Row],[L(mm)]]/2)</f>
        <v>1.0621160231318399E-3</v>
      </c>
      <c r="S93" s="8">
        <f>Table1123[[#This Row],[M (KN.mm)]]/(Table1123[[#This Row],[a (mm)]]*Table1123[[#This Row],[b (mm)]]*Table1123[[#This Row],[h (mm)]]*Table1123[[#This Row],[L(mm)]]/2)</f>
        <v>8.159954695931528E-7</v>
      </c>
      <c r="T93" s="8">
        <f>G93/($AN$5*AK93*0.001*Table1123[[#This Row],[pho (%)]])</f>
        <v>2.8262311523231664E-6</v>
      </c>
      <c r="U93" s="8">
        <f>Table1123[[#This Row],[M (KN.mm)]]/(Table1123[[#This Row],[b (mm)]]*Table1123[[#This Row],[d (mm)]]*Table1123[[#This Row],[pho (%)]])</f>
        <v>1.4846715041393825</v>
      </c>
      <c r="V93" s="8">
        <f>E93*224.8/(2*SQRT(Table1123[[#This Row],[fc (Mpa)]]*145.037)*Table1123[[#This Row],[b (mm)]]*Table1123[[#This Row],[d (mm)]]*(1/25.4)^2)</f>
        <v>1.0649181114570203</v>
      </c>
      <c r="W93" s="8">
        <f>Table1123[[#This Row],[M (KN.mm)]]/$G$98</f>
        <v>0.5892751915144373</v>
      </c>
      <c r="X93" s="8">
        <f>E93*224.8/(2*SQRT(Table1123[[#This Row],[fc (Mpa)]]*145.037)*Table1123[[#This Row],[b (mm)]]*Table1123[[#This Row],[d (mm)]]*(1/25.4)^2+Table1123[[#This Row],[Av fy d/s (N)]]*0.2248)</f>
        <v>0.63321500317028434</v>
      </c>
      <c r="Y93" s="15">
        <v>0.73899999999999999</v>
      </c>
      <c r="Z93" s="8">
        <f>Table1123[[#This Row],[Av fy/(b S) (Mpa)]]*Table1123[[#This Row],[d (mm)]]*Table1123[[#This Row],[b (mm)]]</f>
        <v>320101.54500000004</v>
      </c>
      <c r="AA93" s="8">
        <f>Table1123[[#This Row],[d (mm)]]/200</f>
        <v>2.1549999999999998</v>
      </c>
      <c r="AB93" s="8">
        <f>Table1123[[#This Row],[a/d]]*Table1123[[#This Row],[d]]</f>
        <v>1301.6200000000001</v>
      </c>
      <c r="AC93" s="8">
        <f>Table1123[[#This Row],[d]]</f>
        <v>431</v>
      </c>
      <c r="AD93" s="15">
        <v>469</v>
      </c>
      <c r="AE93" s="15">
        <v>1005</v>
      </c>
      <c r="AF93" s="15">
        <v>42.6</v>
      </c>
      <c r="AG93" s="8">
        <f>Table1123[[#This Row],[pho (%)]]/100*Table1123[[#This Row],[b (mm)]]*Table1123[[#This Row],[d (mm)]]</f>
        <v>4383.5286000000006</v>
      </c>
      <c r="AH93" s="15">
        <v>1.012</v>
      </c>
      <c r="AI93" s="8">
        <v>465</v>
      </c>
      <c r="AJ93" s="8">
        <f>(1/3-0.21*(MIN(Table1123[[#This Row],[b (mm)]],AD93)/MAX(Table1123[[#This Row],[b (mm)]],AD93))*(MIN(Table1123[[#This Row],[b (mm)]],AD93)^4/(12*MAX(Table1123[[#This Row],[b (mm)]],AD93)^4)))*MAX(Table1123[[#This Row],[b (mm)]],AD93)*MIN(Table1123[[#This Row],[b (mm)]],AD93)^3</f>
        <v>34519015951.175629</v>
      </c>
      <c r="AK93" s="8">
        <f>Table1123[[#This Row],[b (mm)]]*AD93^3/12</f>
        <v>8639793128.75</v>
      </c>
      <c r="AL93" s="15">
        <v>2600</v>
      </c>
      <c r="AM93" s="12"/>
      <c r="AN93" s="6"/>
    </row>
    <row r="94" spans="1:42" x14ac:dyDescent="0.25">
      <c r="A94" s="63" t="s">
        <v>119</v>
      </c>
      <c r="B94" s="7">
        <v>5</v>
      </c>
      <c r="C94" s="3">
        <v>93</v>
      </c>
      <c r="D94" s="15">
        <v>3.02</v>
      </c>
      <c r="E94" s="7">
        <v>551.5</v>
      </c>
      <c r="F94" s="15">
        <v>431</v>
      </c>
      <c r="G94" s="8">
        <f t="shared" si="44"/>
        <v>717843.43</v>
      </c>
      <c r="H94" s="8">
        <f t="shared" si="45"/>
        <v>3.1547409565446019E-6</v>
      </c>
      <c r="I94" s="8">
        <f>G94/(Table1123[[#This Row],[b (mm)]]*AC94^2)</f>
        <v>3.8451131811937994E-3</v>
      </c>
      <c r="J94" s="8">
        <f t="shared" si="46"/>
        <v>0.81710085026856183</v>
      </c>
      <c r="K94" s="8">
        <f t="shared" si="47"/>
        <v>5.0881213683374859E-7</v>
      </c>
      <c r="L94" s="8">
        <f>E94/(Table1123[[#This Row],[b (mm)]]*AC94)</f>
        <v>1.2732162851635095E-3</v>
      </c>
      <c r="M94" s="8">
        <f>Table1123[[#This Row],[M (KN.mm)]]/(Table1123[[#This Row],[b (mm)]]*Table1123[[#This Row],[d (mm)]])</f>
        <v>1.6572437810945275</v>
      </c>
      <c r="N94" s="8">
        <f>Table1123[[#This Row],[M (KN.mm)]]/(Table1123[[#This Row],[b (mm)]]*Table1123[[#This Row],[h (mm)]])</f>
        <v>1.5229681655687448</v>
      </c>
      <c r="O94" s="8">
        <f>Table1123[[#This Row],[M (KN.mm)]]/(Table1123[[#This Row],[b (mm)]]*Table1123[[#This Row],[h (mm)]]*Table1123[[#This Row],[L(mm)]])</f>
        <v>5.8575698675720957E-4</v>
      </c>
      <c r="P94" s="8">
        <f>Table1123[[#This Row],[M (KN.mm)]]/(Table1123[[#This Row],[b (mm)]]*Table1123[[#This Row],[d (mm)]]*Table1123[[#This Row],[L(mm)]])</f>
        <v>6.3740145426712598E-4</v>
      </c>
      <c r="Q94" s="8">
        <f>Table1123[[#This Row],[M (KN.mm)]]/(Table1123[[#This Row],[b (mm)]]*Table1123[[#This Row],[h (mm)]]*Table1123[[#This Row],[L(mm)]]*Table1123[[#This Row],[fc (Mpa)]])</f>
        <v>1.3750164008385202E-5</v>
      </c>
      <c r="R94" s="8">
        <f>Table1123[[#This Row],[M (KN.mm)]]/(Table1123[[#This Row],[b (mm)]]*Table1123[[#This Row],[h (mm)]]*Table1123[[#This Row],[L(mm)]]/2)</f>
        <v>1.1715139735144191E-3</v>
      </c>
      <c r="S94" s="8">
        <f>Table1123[[#This Row],[M (KN.mm)]]/(Table1123[[#This Row],[a (mm)]]*Table1123[[#This Row],[b (mm)]]*Table1123[[#This Row],[h (mm)]]*Table1123[[#This Row],[L(mm)]]/2)</f>
        <v>9.0004300296124749E-7</v>
      </c>
      <c r="T94" s="8">
        <f>G94/($AN$5*AK94*0.001*Table1123[[#This Row],[pho (%)]])</f>
        <v>3.1173329610124525E-6</v>
      </c>
      <c r="U94" s="8">
        <f>Table1123[[#This Row],[M (KN.mm)]]/(Table1123[[#This Row],[b (mm)]]*Table1123[[#This Row],[d (mm)]]*Table1123[[#This Row],[pho (%)]])</f>
        <v>1.6375926690657387</v>
      </c>
      <c r="V94" s="8">
        <f>E94*224.8/(2*SQRT(Table1123[[#This Row],[fc (Mpa)]]*145.037)*Table1123[[#This Row],[b (mm)]]*Table1123[[#This Row],[d (mm)]]*(1/25.4)^2)</f>
        <v>1.1746046769370935</v>
      </c>
      <c r="W94" s="8">
        <f>Table1123[[#This Row],[M (KN.mm)]]/$G$98</f>
        <v>0.64997053624042433</v>
      </c>
      <c r="X94" s="8">
        <f>E94*224.8/(2*SQRT(Table1123[[#This Row],[fc (Mpa)]]*145.037)*Table1123[[#This Row],[b (mm)]]*Table1123[[#This Row],[d (mm)]]*(1/25.4)^2+Table1123[[#This Row],[Av fy d/s (N)]]*0.2248)</f>
        <v>0.69843614849682367</v>
      </c>
      <c r="Y94" s="15">
        <v>0.73899999999999999</v>
      </c>
      <c r="Z94" s="8">
        <f>Table1123[[#This Row],[Av fy/(b S) (Mpa)]]*Table1123[[#This Row],[d (mm)]]*Table1123[[#This Row],[b (mm)]]</f>
        <v>320101.54500000004</v>
      </c>
      <c r="AA94" s="8">
        <f>Table1123[[#This Row],[d (mm)]]/200</f>
        <v>2.1549999999999998</v>
      </c>
      <c r="AB94" s="8">
        <f>Table1123[[#This Row],[a/d]]*Table1123[[#This Row],[d]]</f>
        <v>1301.6200000000001</v>
      </c>
      <c r="AC94" s="8">
        <f>Table1123[[#This Row],[d]]</f>
        <v>431</v>
      </c>
      <c r="AD94" s="15">
        <v>469</v>
      </c>
      <c r="AE94" s="15">
        <v>1005</v>
      </c>
      <c r="AF94" s="15">
        <v>42.6</v>
      </c>
      <c r="AG94" s="8">
        <f>Table1123[[#This Row],[pho (%)]]/100*Table1123[[#This Row],[b (mm)]]*Table1123[[#This Row],[d (mm)]]</f>
        <v>4383.5286000000006</v>
      </c>
      <c r="AH94" s="15">
        <v>1.012</v>
      </c>
      <c r="AI94" s="8">
        <v>465</v>
      </c>
      <c r="AJ94" s="8">
        <f>(1/3-0.21*(MIN(Table1123[[#This Row],[b (mm)]],AD94)/MAX(Table1123[[#This Row],[b (mm)]],AD94))*(MIN(Table1123[[#This Row],[b (mm)]],AD94)^4/(12*MAX(Table1123[[#This Row],[b (mm)]],AD94)^4)))*MAX(Table1123[[#This Row],[b (mm)]],AD94)*MIN(Table1123[[#This Row],[b (mm)]],AD94)^3</f>
        <v>34519015951.175629</v>
      </c>
      <c r="AK94" s="8">
        <f>Table1123[[#This Row],[b (mm)]]*AD94^3/12</f>
        <v>8639793128.75</v>
      </c>
      <c r="AL94" s="15">
        <v>2600</v>
      </c>
      <c r="AM94" s="12"/>
      <c r="AN94" s="6"/>
    </row>
    <row r="95" spans="1:42" x14ac:dyDescent="0.25">
      <c r="A95" s="63" t="s">
        <v>119</v>
      </c>
      <c r="B95" s="7">
        <v>6</v>
      </c>
      <c r="C95" s="3">
        <v>94</v>
      </c>
      <c r="D95" s="15">
        <v>3.02</v>
      </c>
      <c r="E95" s="7">
        <v>623.5</v>
      </c>
      <c r="F95" s="15">
        <v>431</v>
      </c>
      <c r="G95" s="8">
        <f t="shared" si="44"/>
        <v>811560.07000000007</v>
      </c>
      <c r="H95" s="8">
        <f t="shared" si="45"/>
        <v>3.5666019699103522E-6</v>
      </c>
      <c r="I95" s="8">
        <f>G95/(Table1123[[#This Row],[b (mm)]]*AC95^2)</f>
        <v>4.3471043852662443E-3</v>
      </c>
      <c r="J95" s="8">
        <f t="shared" si="46"/>
        <v>0.92377584794641576</v>
      </c>
      <c r="K95" s="8">
        <f t="shared" si="47"/>
        <v>5.7523910664703936E-7</v>
      </c>
      <c r="L95" s="8">
        <f>E95/(Table1123[[#This Row],[b (mm)]]*AC95)</f>
        <v>1.4394385381676306E-3</v>
      </c>
      <c r="M95" s="8">
        <f>Table1123[[#This Row],[M (KN.mm)]]/(Table1123[[#This Row],[b (mm)]]*Table1123[[#This Row],[d (mm)]])</f>
        <v>1.8736019900497514</v>
      </c>
      <c r="N95" s="8">
        <f>Table1123[[#This Row],[M (KN.mm)]]/(Table1123[[#This Row],[b (mm)]]*Table1123[[#This Row],[h (mm)]])</f>
        <v>1.7217962850990252</v>
      </c>
      <c r="O95" s="8">
        <f>Table1123[[#This Row],[M (KN.mm)]]/(Table1123[[#This Row],[b (mm)]]*Table1123[[#This Row],[h (mm)]]*Table1123[[#This Row],[L(mm)]])</f>
        <v>6.6222934042270204E-4</v>
      </c>
      <c r="P95" s="8">
        <f>Table1123[[#This Row],[M (KN.mm)]]/(Table1123[[#This Row],[b (mm)]]*Table1123[[#This Row],[d (mm)]]*Table1123[[#This Row],[L(mm)]])</f>
        <v>7.2061615001913512E-4</v>
      </c>
      <c r="Q95" s="8">
        <f>Table1123[[#This Row],[M (KN.mm)]]/(Table1123[[#This Row],[b (mm)]]*Table1123[[#This Row],[h (mm)]]*Table1123[[#This Row],[L(mm)]]*Table1123[[#This Row],[fc (Mpa)]])</f>
        <v>1.5545289681284085E-5</v>
      </c>
      <c r="R95" s="8">
        <f>Table1123[[#This Row],[M (KN.mm)]]/(Table1123[[#This Row],[b (mm)]]*Table1123[[#This Row],[h (mm)]]*Table1123[[#This Row],[L(mm)]]/2)</f>
        <v>1.3244586808454041E-3</v>
      </c>
      <c r="S95" s="8">
        <f>Table1123[[#This Row],[M (KN.mm)]]/(Table1123[[#This Row],[a (mm)]]*Table1123[[#This Row],[b (mm)]]*Table1123[[#This Row],[h (mm)]]*Table1123[[#This Row],[L(mm)]]/2)</f>
        <v>1.0175463505826615E-6</v>
      </c>
      <c r="T95" s="8">
        <f>G95/($AN$5*AK95*0.001*Table1123[[#This Row],[pho (%)]])</f>
        <v>3.5243102469469883E-6</v>
      </c>
      <c r="U95" s="8">
        <f>Table1123[[#This Row],[M (KN.mm)]]/(Table1123[[#This Row],[b (mm)]]*Table1123[[#This Row],[d (mm)]]*Table1123[[#This Row],[pho (%)]])</f>
        <v>1.8513853656618098</v>
      </c>
      <c r="V95" s="8">
        <f>E95*224.8/(2*SQRT(Table1123[[#This Row],[fc (Mpa)]]*145.037)*Table1123[[#This Row],[b (mm)]]*Table1123[[#This Row],[d (mm)]]*(1/25.4)^2)</f>
        <v>1.3279528849869044</v>
      </c>
      <c r="W95" s="8">
        <f>Table1123[[#This Row],[M (KN.mm)]]/$G$98</f>
        <v>0.7348261638185033</v>
      </c>
      <c r="X95" s="8">
        <f>E95*224.8/(2*SQRT(Table1123[[#This Row],[fc (Mpa)]]*145.037)*Table1123[[#This Row],[b (mm)]]*Table1123[[#This Row],[d (mm)]]*(1/25.4)^2+Table1123[[#This Row],[Av fy d/s (N)]]*0.2248)</f>
        <v>0.78961910895334464</v>
      </c>
      <c r="Y95" s="15">
        <v>0.73899999999999999</v>
      </c>
      <c r="Z95" s="8">
        <f>Table1123[[#This Row],[Av fy/(b S) (Mpa)]]*Table1123[[#This Row],[d (mm)]]*Table1123[[#This Row],[b (mm)]]</f>
        <v>320101.54500000004</v>
      </c>
      <c r="AA95" s="8">
        <f>Table1123[[#This Row],[d (mm)]]/200</f>
        <v>2.1549999999999998</v>
      </c>
      <c r="AB95" s="8">
        <f>Table1123[[#This Row],[a/d]]*Table1123[[#This Row],[d]]</f>
        <v>1301.6200000000001</v>
      </c>
      <c r="AC95" s="8">
        <f>Table1123[[#This Row],[d]]</f>
        <v>431</v>
      </c>
      <c r="AD95" s="15">
        <v>469</v>
      </c>
      <c r="AE95" s="15">
        <v>1005</v>
      </c>
      <c r="AF95" s="15">
        <v>42.6</v>
      </c>
      <c r="AG95" s="8">
        <f>Table1123[[#This Row],[pho (%)]]/100*Table1123[[#This Row],[b (mm)]]*Table1123[[#This Row],[d (mm)]]</f>
        <v>4383.5286000000006</v>
      </c>
      <c r="AH95" s="15">
        <v>1.012</v>
      </c>
      <c r="AI95" s="8">
        <v>465</v>
      </c>
      <c r="AJ95" s="8">
        <f>(1/3-0.21*(MIN(Table1123[[#This Row],[b (mm)]],AD95)/MAX(Table1123[[#This Row],[b (mm)]],AD95))*(MIN(Table1123[[#This Row],[b (mm)]],AD95)^4/(12*MAX(Table1123[[#This Row],[b (mm)]],AD95)^4)))*MAX(Table1123[[#This Row],[b (mm)]],AD95)*MIN(Table1123[[#This Row],[b (mm)]],AD95)^3</f>
        <v>34519015951.175629</v>
      </c>
      <c r="AK95" s="8">
        <f>Table1123[[#This Row],[b (mm)]]*AD95^3/12</f>
        <v>8639793128.75</v>
      </c>
      <c r="AL95" s="15">
        <v>2600</v>
      </c>
      <c r="AM95" s="14"/>
      <c r="AN95" s="22"/>
      <c r="AO95" s="13"/>
      <c r="AP95" s="13"/>
    </row>
    <row r="96" spans="1:42" x14ac:dyDescent="0.25">
      <c r="A96" s="63" t="s">
        <v>119</v>
      </c>
      <c r="B96" s="7">
        <v>7</v>
      </c>
      <c r="C96" s="3">
        <v>95</v>
      </c>
      <c r="D96" s="15">
        <v>3.02</v>
      </c>
      <c r="E96" s="7">
        <v>699.5</v>
      </c>
      <c r="F96" s="15">
        <v>431</v>
      </c>
      <c r="G96" s="8">
        <f t="shared" si="44"/>
        <v>910483.19000000006</v>
      </c>
      <c r="H96" s="8">
        <f t="shared" si="45"/>
        <v>4.001344150685311E-6</v>
      </c>
      <c r="I96" s="8">
        <f>G96/(Table1123[[#This Row],[b (mm)]]*AC96^2)</f>
        <v>4.8769839895649366E-3</v>
      </c>
      <c r="J96" s="8">
        <f t="shared" si="46"/>
        <v>1.0363772343841504</v>
      </c>
      <c r="K96" s="8">
        <f t="shared" si="47"/>
        <v>6.4535646367217976E-7</v>
      </c>
      <c r="L96" s="8">
        <f>E96/(Table1123[[#This Row],[b (mm)]]*AC96)</f>
        <v>1.6148953607830914E-3</v>
      </c>
      <c r="M96" s="8">
        <f>Table1123[[#This Row],[M (KN.mm)]]/(Table1123[[#This Row],[b (mm)]]*Table1123[[#This Row],[d (mm)]])</f>
        <v>2.1019800995024878</v>
      </c>
      <c r="N96" s="8">
        <f>Table1123[[#This Row],[M (KN.mm)]]/(Table1123[[#This Row],[b (mm)]]*Table1123[[#This Row],[h (mm)]])</f>
        <v>1.9316704112698768</v>
      </c>
      <c r="O96" s="8">
        <f>Table1123[[#This Row],[M (KN.mm)]]/(Table1123[[#This Row],[b (mm)]]*Table1123[[#This Row],[h (mm)]]*Table1123[[#This Row],[L(mm)]])</f>
        <v>7.4295015818072181E-4</v>
      </c>
      <c r="P96" s="8">
        <f>Table1123[[#This Row],[M (KN.mm)]]/(Table1123[[#This Row],[b (mm)]]*Table1123[[#This Row],[d (mm)]]*Table1123[[#This Row],[L(mm)]])</f>
        <v>8.0845388442403378E-4</v>
      </c>
      <c r="Q96" s="8">
        <f>Table1123[[#This Row],[M (KN.mm)]]/(Table1123[[#This Row],[b (mm)]]*Table1123[[#This Row],[h (mm)]]*Table1123[[#This Row],[L(mm)]]*Table1123[[#This Row],[fc (Mpa)]])</f>
        <v>1.7440144558232906E-5</v>
      </c>
      <c r="R96" s="8">
        <f>Table1123[[#This Row],[M (KN.mm)]]/(Table1123[[#This Row],[b (mm)]]*Table1123[[#This Row],[h (mm)]]*Table1123[[#This Row],[L(mm)]]/2)</f>
        <v>1.4859003163614436E-3</v>
      </c>
      <c r="S96" s="8">
        <f>Table1123[[#This Row],[M (KN.mm)]]/(Table1123[[#This Row],[a (mm)]]*Table1123[[#This Row],[b (mm)]]*Table1123[[#This Row],[h (mm)]]*Table1123[[#This Row],[L(mm)]]/2)</f>
        <v>1.1415776619608208E-6</v>
      </c>
      <c r="T96" s="8">
        <f>G96/($AN$5*AK96*0.001*Table1123[[#This Row],[pho (%)]])</f>
        <v>3.9538973821001095E-6</v>
      </c>
      <c r="U96" s="8">
        <f>Table1123[[#This Row],[M (KN.mm)]]/(Table1123[[#This Row],[b (mm)]]*Table1123[[#This Row],[d (mm)]]*Table1123[[#This Row],[pho (%)]])</f>
        <v>2.0770554342909957</v>
      </c>
      <c r="V96" s="8">
        <f>E96*224.8/(2*SQRT(Table1123[[#This Row],[fc (Mpa)]]*145.037)*Table1123[[#This Row],[b (mm)]]*Table1123[[#This Row],[d (mm)]]*(1/25.4)^2)</f>
        <v>1.4898204379283713</v>
      </c>
      <c r="W96" s="8">
        <f>Table1123[[#This Row],[M (KN.mm)]]/$G$98</f>
        <v>0.8243959929286977</v>
      </c>
      <c r="X96" s="8">
        <f>E96*224.8/(2*SQRT(Table1123[[#This Row],[fc (Mpa)]]*145.037)*Table1123[[#This Row],[b (mm)]]*Table1123[[#This Row],[d (mm)]]*(1/25.4)^2+Table1123[[#This Row],[Av fy d/s (N)]]*0.2248)</f>
        <v>0.88586778943522781</v>
      </c>
      <c r="Y96" s="15">
        <v>0.73899999999999999</v>
      </c>
      <c r="Z96" s="8">
        <f>Table1123[[#This Row],[Av fy/(b S) (Mpa)]]*Table1123[[#This Row],[d (mm)]]*Table1123[[#This Row],[b (mm)]]</f>
        <v>320101.54500000004</v>
      </c>
      <c r="AA96" s="8">
        <f>Table1123[[#This Row],[d (mm)]]/200</f>
        <v>2.1549999999999998</v>
      </c>
      <c r="AB96" s="8">
        <f>Table1123[[#This Row],[a/d]]*Table1123[[#This Row],[d]]</f>
        <v>1301.6200000000001</v>
      </c>
      <c r="AC96" s="8">
        <f>Table1123[[#This Row],[d]]</f>
        <v>431</v>
      </c>
      <c r="AD96" s="15">
        <v>469</v>
      </c>
      <c r="AE96" s="15">
        <v>1005</v>
      </c>
      <c r="AF96" s="15">
        <v>42.6</v>
      </c>
      <c r="AG96" s="8">
        <f>Table1123[[#This Row],[pho (%)]]/100*Table1123[[#This Row],[b (mm)]]*Table1123[[#This Row],[d (mm)]]</f>
        <v>4383.5286000000006</v>
      </c>
      <c r="AH96" s="15">
        <v>1.012</v>
      </c>
      <c r="AI96" s="8">
        <v>465</v>
      </c>
      <c r="AJ96" s="8">
        <f>(1/3-0.21*(MIN(Table1123[[#This Row],[b (mm)]],AD96)/MAX(Table1123[[#This Row],[b (mm)]],AD96))*(MIN(Table1123[[#This Row],[b (mm)]],AD96)^4/(12*MAX(Table1123[[#This Row],[b (mm)]],AD96)^4)))*MAX(Table1123[[#This Row],[b (mm)]],AD96)*MIN(Table1123[[#This Row],[b (mm)]],AD96)^3</f>
        <v>34519015951.175629</v>
      </c>
      <c r="AK96" s="8">
        <f>Table1123[[#This Row],[b (mm)]]*AD96^3/12</f>
        <v>8639793128.75</v>
      </c>
      <c r="AL96" s="15">
        <v>2600</v>
      </c>
      <c r="AM96" s="14"/>
      <c r="AN96" s="22"/>
      <c r="AO96" s="13"/>
      <c r="AP96" s="13"/>
    </row>
    <row r="97" spans="1:42" x14ac:dyDescent="0.25">
      <c r="A97" s="63" t="s">
        <v>119</v>
      </c>
      <c r="B97" s="7">
        <v>8</v>
      </c>
      <c r="C97" s="3">
        <v>96</v>
      </c>
      <c r="D97" s="15">
        <v>3.02</v>
      </c>
      <c r="E97" s="7">
        <v>774.5</v>
      </c>
      <c r="F97" s="15">
        <v>431</v>
      </c>
      <c r="G97" s="8">
        <f t="shared" si="44"/>
        <v>1008104.6900000001</v>
      </c>
      <c r="H97" s="8">
        <f t="shared" si="45"/>
        <v>4.4303660396079673E-6</v>
      </c>
      <c r="I97" s="8">
        <f>G97/(Table1123[[#This Row],[b (mm)]]*AC97^2)</f>
        <v>5.3998914938070668E-3</v>
      </c>
      <c r="J97" s="8">
        <f t="shared" si="46"/>
        <v>1.1474970236319151</v>
      </c>
      <c r="K97" s="8">
        <f t="shared" si="47"/>
        <v>7.1455122389435773E-7</v>
      </c>
      <c r="L97" s="8">
        <f>E97/(Table1123[[#This Row],[b (mm)]]*AC97)</f>
        <v>1.7880435409957174E-3</v>
      </c>
      <c r="M97" s="8">
        <f>Table1123[[#This Row],[M (KN.mm)]]/(Table1123[[#This Row],[b (mm)]]*Table1123[[#This Row],[d (mm)]])</f>
        <v>2.3273532338308458</v>
      </c>
      <c r="N97" s="8">
        <f>Table1123[[#This Row],[M (KN.mm)]]/(Table1123[[#This Row],[b (mm)]]*Table1123[[#This Row],[h (mm)]])</f>
        <v>2.1387830357805853</v>
      </c>
      <c r="O97" s="8">
        <f>Table1123[[#This Row],[M (KN.mm)]]/(Table1123[[#This Row],[b (mm)]]*Table1123[[#This Row],[h (mm)]]*Table1123[[#This Row],[L(mm)]])</f>
        <v>8.2260885991560981E-4</v>
      </c>
      <c r="P97" s="8">
        <f>Table1123[[#This Row],[M (KN.mm)]]/(Table1123[[#This Row],[b (mm)]]*Table1123[[#This Row],[d (mm)]]*Table1123[[#This Row],[L(mm)]])</f>
        <v>8.9513585916570996E-4</v>
      </c>
      <c r="Q97" s="8">
        <f>Table1123[[#This Row],[M (KN.mm)]]/(Table1123[[#This Row],[b (mm)]]*Table1123[[#This Row],[h (mm)]]*Table1123[[#This Row],[L(mm)]]*Table1123[[#This Row],[fc (Mpa)]])</f>
        <v>1.9310067134169243E-5</v>
      </c>
      <c r="R97" s="8">
        <f>Table1123[[#This Row],[M (KN.mm)]]/(Table1123[[#This Row],[b (mm)]]*Table1123[[#This Row],[h (mm)]]*Table1123[[#This Row],[L(mm)]]/2)</f>
        <v>1.6452177198312196E-3</v>
      </c>
      <c r="S97" s="8">
        <f>Table1123[[#This Row],[M (KN.mm)]]/(Table1123[[#This Row],[a (mm)]]*Table1123[[#This Row],[b (mm)]]*Table1123[[#This Row],[h (mm)]]*Table1123[[#This Row],[L(mm)]]/2)</f>
        <v>1.2639769823997937E-6</v>
      </c>
      <c r="T97" s="8">
        <f>G97/($AN$5*AK97*0.001*Table1123[[#This Row],[pho (%)]])</f>
        <v>4.3778320549485848E-6</v>
      </c>
      <c r="U97" s="8">
        <f>Table1123[[#This Row],[M (KN.mm)]]/(Table1123[[#This Row],[b (mm)]]*Table1123[[#This Row],[d (mm)]]*Table1123[[#This Row],[pho (%)]])</f>
        <v>2.2997561599119032</v>
      </c>
      <c r="V97" s="8">
        <f>E97*224.8/(2*SQRT(Table1123[[#This Row],[fc (Mpa)]]*145.037)*Table1123[[#This Row],[b (mm)]]*Table1123[[#This Row],[d (mm)]]*(1/25.4)^2)</f>
        <v>1.6495581546469245</v>
      </c>
      <c r="W97" s="8">
        <f>Table1123[[#This Row],[M (KN.mm)]]/$G$98</f>
        <v>0.91278727165586326</v>
      </c>
      <c r="X97" s="8">
        <f>E97*224.8/(2*SQRT(Table1123[[#This Row],[fc (Mpa)]]*145.037)*Table1123[[#This Row],[b (mm)]]*Table1123[[#This Row],[d (mm)]]*(1/25.4)^2+Table1123[[#This Row],[Av fy d/s (N)]]*0.2248)</f>
        <v>0.98085003991077047</v>
      </c>
      <c r="Y97" s="15">
        <v>0.73899999999999999</v>
      </c>
      <c r="Z97" s="8">
        <f>Table1123[[#This Row],[Av fy/(b S) (Mpa)]]*Table1123[[#This Row],[d (mm)]]*Table1123[[#This Row],[b (mm)]]</f>
        <v>320101.54500000004</v>
      </c>
      <c r="AA97" s="8">
        <f>Table1123[[#This Row],[d (mm)]]/200</f>
        <v>2.1549999999999998</v>
      </c>
      <c r="AB97" s="8">
        <f>Table1123[[#This Row],[a/d]]*Table1123[[#This Row],[d]]</f>
        <v>1301.6200000000001</v>
      </c>
      <c r="AC97" s="8">
        <f>Table1123[[#This Row],[d]]</f>
        <v>431</v>
      </c>
      <c r="AD97" s="15">
        <v>469</v>
      </c>
      <c r="AE97" s="15">
        <v>1005</v>
      </c>
      <c r="AF97" s="15">
        <v>42.6</v>
      </c>
      <c r="AG97" s="8">
        <f>Table1123[[#This Row],[pho (%)]]/100*Table1123[[#This Row],[b (mm)]]*Table1123[[#This Row],[d (mm)]]</f>
        <v>4383.5286000000006</v>
      </c>
      <c r="AH97" s="15">
        <v>1.012</v>
      </c>
      <c r="AI97" s="8">
        <v>465</v>
      </c>
      <c r="AJ97" s="8">
        <f>(1/3-0.21*(MIN(Table1123[[#This Row],[b (mm)]],AD97)/MAX(Table1123[[#This Row],[b (mm)]],AD97))*(MIN(Table1123[[#This Row],[b (mm)]],AD97)^4/(12*MAX(Table1123[[#This Row],[b (mm)]],AD97)^4)))*MAX(Table1123[[#This Row],[b (mm)]],AD97)*MIN(Table1123[[#This Row],[b (mm)]],AD97)^3</f>
        <v>34519015951.175629</v>
      </c>
      <c r="AK97" s="8">
        <f>Table1123[[#This Row],[b (mm)]]*AD97^3/12</f>
        <v>8639793128.75</v>
      </c>
      <c r="AL97" s="15">
        <v>2600</v>
      </c>
      <c r="AM97" s="14"/>
      <c r="AN97" s="22"/>
      <c r="AO97" s="13"/>
      <c r="AP97" s="13"/>
    </row>
    <row r="98" spans="1:42" x14ac:dyDescent="0.25">
      <c r="A98" s="63" t="s">
        <v>119</v>
      </c>
      <c r="B98" s="7">
        <v>9</v>
      </c>
      <c r="C98" s="3">
        <v>97</v>
      </c>
      <c r="D98" s="15">
        <v>3.02</v>
      </c>
      <c r="E98" s="7">
        <v>848.5</v>
      </c>
      <c r="F98" s="15">
        <v>431</v>
      </c>
      <c r="G98" s="8">
        <f t="shared" si="44"/>
        <v>1104424.57</v>
      </c>
      <c r="H98" s="8">
        <f t="shared" si="45"/>
        <v>4.8536676366783223E-6</v>
      </c>
      <c r="I98" s="8">
        <f>G98/(Table1123[[#This Row],[b (mm)]]*AC98^2)</f>
        <v>5.9158268979926359E-3</v>
      </c>
      <c r="J98" s="8">
        <f t="shared" si="46"/>
        <v>1.2571352156897093</v>
      </c>
      <c r="K98" s="8">
        <f t="shared" si="47"/>
        <v>7.8282338731357326E-7</v>
      </c>
      <c r="L98" s="8">
        <f>E98/(Table1123[[#This Row],[b (mm)]]*AC98)</f>
        <v>1.9588830788055084E-3</v>
      </c>
      <c r="M98" s="8">
        <f>Table1123[[#This Row],[M (KN.mm)]]/(Table1123[[#This Row],[b (mm)]]*Table1123[[#This Row],[d (mm)]])</f>
        <v>2.5497213930348259</v>
      </c>
      <c r="N98" s="8">
        <f>Table1123[[#This Row],[M (KN.mm)]]/(Table1123[[#This Row],[b (mm)]]*Table1123[[#This Row],[h (mm)]])</f>
        <v>2.3431341586311514</v>
      </c>
      <c r="O98" s="8">
        <f>Table1123[[#This Row],[M (KN.mm)]]/(Table1123[[#This Row],[b (mm)]]*Table1123[[#This Row],[h (mm)]]*Table1123[[#This Row],[L(mm)]])</f>
        <v>9.0120544562736593E-4</v>
      </c>
      <c r="P98" s="8">
        <f>Table1123[[#This Row],[M (KN.mm)]]/(Table1123[[#This Row],[b (mm)]]*Table1123[[#This Row],[d (mm)]]*Table1123[[#This Row],[L(mm)]])</f>
        <v>9.8066207424416375E-4</v>
      </c>
      <c r="Q98" s="8">
        <f>Table1123[[#This Row],[M (KN.mm)]]/(Table1123[[#This Row],[b (mm)]]*Table1123[[#This Row],[h (mm)]]*Table1123[[#This Row],[L(mm)]]*Table1123[[#This Row],[fc (Mpa)]])</f>
        <v>2.1155057409093097E-5</v>
      </c>
      <c r="R98" s="8">
        <f>Table1123[[#This Row],[M (KN.mm)]]/(Table1123[[#This Row],[b (mm)]]*Table1123[[#This Row],[h (mm)]]*Table1123[[#This Row],[L(mm)]]/2)</f>
        <v>1.8024108912547319E-3</v>
      </c>
      <c r="S98" s="8">
        <f>Table1123[[#This Row],[M (KN.mm)]]/(Table1123[[#This Row],[a (mm)]]*Table1123[[#This Row],[b (mm)]]*Table1123[[#This Row],[h (mm)]]*Table1123[[#This Row],[L(mm)]]/2)</f>
        <v>1.3847443118995803E-6</v>
      </c>
      <c r="T98" s="8">
        <f>G98/($AN$5*AK98*0.001*Table1123[[#This Row],[pho (%)]])</f>
        <v>4.7961142654924134E-6</v>
      </c>
      <c r="U98" s="8">
        <f>Table1123[[#This Row],[M (KN.mm)]]/(Table1123[[#This Row],[b (mm)]]*Table1123[[#This Row],[d (mm)]]*Table1123[[#This Row],[pho (%)]])</f>
        <v>2.5194875425245318</v>
      </c>
      <c r="V98" s="8">
        <f>E98*224.8/(2*SQRT(Table1123[[#This Row],[fc (Mpa)]]*145.037)*Table1123[[#This Row],[b (mm)]]*Table1123[[#This Row],[d (mm)]]*(1/25.4)^2)</f>
        <v>1.8071660351425636</v>
      </c>
      <c r="W98" s="8">
        <f>Table1123[[#This Row],[M (KN.mm)]]/$G$98</f>
        <v>1</v>
      </c>
      <c r="X98" s="8">
        <f>E98*224.8/(2*SQRT(Table1123[[#This Row],[fc (Mpa)]]*145.037)*Table1123[[#This Row],[b (mm)]]*Table1123[[#This Row],[d (mm)]]*(1/25.4)^2+Table1123[[#This Row],[Av fy d/s (N)]]*0.2248)</f>
        <v>1.0745658603799726</v>
      </c>
      <c r="Y98" s="15">
        <v>0.73899999999999999</v>
      </c>
      <c r="Z98" s="8">
        <f>Table1123[[#This Row],[Av fy/(b S) (Mpa)]]*Table1123[[#This Row],[d (mm)]]*Table1123[[#This Row],[b (mm)]]</f>
        <v>320101.54500000004</v>
      </c>
      <c r="AA98" s="8">
        <f>Table1123[[#This Row],[d (mm)]]/200</f>
        <v>2.1549999999999998</v>
      </c>
      <c r="AB98" s="8">
        <f>Table1123[[#This Row],[a/d]]*Table1123[[#This Row],[d]]</f>
        <v>1301.6200000000001</v>
      </c>
      <c r="AC98" s="8">
        <f>Table1123[[#This Row],[d]]</f>
        <v>431</v>
      </c>
      <c r="AD98" s="15">
        <v>469</v>
      </c>
      <c r="AE98" s="15">
        <v>1005</v>
      </c>
      <c r="AF98" s="15">
        <v>42.6</v>
      </c>
      <c r="AG98" s="8">
        <f>Table1123[[#This Row],[pho (%)]]/100*Table1123[[#This Row],[b (mm)]]*Table1123[[#This Row],[d (mm)]]</f>
        <v>4383.5286000000006</v>
      </c>
      <c r="AH98" s="15">
        <v>1.012</v>
      </c>
      <c r="AI98" s="8">
        <v>465</v>
      </c>
      <c r="AJ98" s="8">
        <f>(1/3-0.21*(MIN(Table1123[[#This Row],[b (mm)]],AD98)/MAX(Table1123[[#This Row],[b (mm)]],AD98))*(MIN(Table1123[[#This Row],[b (mm)]],AD98)^4/(12*MAX(Table1123[[#This Row],[b (mm)]],AD98)^4)))*MAX(Table1123[[#This Row],[b (mm)]],AD98)*MIN(Table1123[[#This Row],[b (mm)]],AD98)^3</f>
        <v>34519015951.175629</v>
      </c>
      <c r="AK98" s="8">
        <f>Table1123[[#This Row],[b (mm)]]*AD98^3/12</f>
        <v>8639793128.75</v>
      </c>
      <c r="AL98" s="15">
        <v>2600</v>
      </c>
      <c r="AM98" s="14"/>
      <c r="AN98" s="22"/>
      <c r="AO98" s="13"/>
      <c r="AP98" s="13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9"/>
  <sheetViews>
    <sheetView tabSelected="1" workbookViewId="0">
      <selection activeCell="P19" sqref="P19"/>
    </sheetView>
  </sheetViews>
  <sheetFormatPr defaultRowHeight="15" x14ac:dyDescent="0.25"/>
  <sheetData>
    <row r="1" spans="3:7" x14ac:dyDescent="0.25">
      <c r="C1" t="s">
        <v>155</v>
      </c>
      <c r="D1" t="s">
        <v>156</v>
      </c>
    </row>
    <row r="2" spans="3:7" x14ac:dyDescent="0.25">
      <c r="F2">
        <v>0</v>
      </c>
      <c r="G2">
        <v>0</v>
      </c>
    </row>
    <row r="3" spans="3:7" x14ac:dyDescent="0.25">
      <c r="C3" s="77">
        <f>1.29*D3</f>
        <v>799.80000000000007</v>
      </c>
      <c r="D3" s="77">
        <v>620</v>
      </c>
      <c r="F3">
        <v>1200</v>
      </c>
      <c r="G3">
        <v>1200</v>
      </c>
    </row>
    <row r="4" spans="3:7" x14ac:dyDescent="0.25">
      <c r="C4" s="77">
        <f>1.3*D4</f>
        <v>416</v>
      </c>
      <c r="D4" s="77">
        <v>320</v>
      </c>
    </row>
    <row r="5" spans="3:7" x14ac:dyDescent="0.25">
      <c r="C5" s="77">
        <f>1.31*D5</f>
        <v>282.96000000000004</v>
      </c>
      <c r="D5" s="77">
        <v>216</v>
      </c>
    </row>
    <row r="6" spans="3:7" x14ac:dyDescent="0.25">
      <c r="C6" s="77">
        <f>1.2*D6</f>
        <v>960</v>
      </c>
      <c r="D6" s="77">
        <v>800</v>
      </c>
    </row>
    <row r="7" spans="3:7" x14ac:dyDescent="0.25">
      <c r="C7" s="77">
        <f>1.17*D7</f>
        <v>727.74</v>
      </c>
      <c r="D7" s="77">
        <v>622</v>
      </c>
    </row>
    <row r="8" spans="3:7" x14ac:dyDescent="0.25">
      <c r="C8" s="77">
        <v>387</v>
      </c>
      <c r="D8" s="77">
        <f>C8/1.3</f>
        <v>297.69230769230768</v>
      </c>
    </row>
    <row r="9" spans="3:7" x14ac:dyDescent="0.25">
      <c r="C9" s="77">
        <v>324</v>
      </c>
      <c r="D9" s="77">
        <f>C9/1.35</f>
        <v>239.99999999999997</v>
      </c>
    </row>
    <row r="10" spans="3:7" x14ac:dyDescent="0.25">
      <c r="C10" s="77">
        <v>312</v>
      </c>
      <c r="D10" s="77">
        <f t="shared" ref="D10" si="0">C10/1.3</f>
        <v>240</v>
      </c>
    </row>
    <row r="11" spans="3:7" x14ac:dyDescent="0.25">
      <c r="C11" s="77">
        <v>424.5</v>
      </c>
      <c r="D11" s="77">
        <f>C11/1.16</f>
        <v>365.94827586206901</v>
      </c>
    </row>
    <row r="12" spans="3:7" x14ac:dyDescent="0.25">
      <c r="C12" s="77">
        <v>1000</v>
      </c>
      <c r="D12" s="77">
        <f>C12/1.33</f>
        <v>751.87969924812023</v>
      </c>
    </row>
    <row r="13" spans="3:7" x14ac:dyDescent="0.25">
      <c r="C13" s="77">
        <v>900</v>
      </c>
      <c r="D13" s="77">
        <f>C13/1.2</f>
        <v>750</v>
      </c>
    </row>
    <row r="14" spans="3:7" x14ac:dyDescent="0.25">
      <c r="C14" s="77">
        <v>825</v>
      </c>
      <c r="D14" s="77">
        <f>C14/0.92</f>
        <v>896.73913043478262</v>
      </c>
    </row>
    <row r="15" spans="3:7" x14ac:dyDescent="0.25">
      <c r="C15" s="77">
        <v>775</v>
      </c>
      <c r="D15" s="77">
        <f>C15/0.88</f>
        <v>880.68181818181813</v>
      </c>
    </row>
    <row r="16" spans="3:7" x14ac:dyDescent="0.25">
      <c r="C16" s="78">
        <v>100</v>
      </c>
      <c r="D16" s="78">
        <v>86</v>
      </c>
    </row>
    <row r="17" spans="3:4" x14ac:dyDescent="0.25">
      <c r="C17" s="78">
        <v>178</v>
      </c>
      <c r="D17" s="78">
        <v>125</v>
      </c>
    </row>
    <row r="18" spans="3:4" x14ac:dyDescent="0.25">
      <c r="C18" s="78">
        <v>242</v>
      </c>
      <c r="D18" s="78">
        <v>175</v>
      </c>
    </row>
    <row r="19" spans="3:4" x14ac:dyDescent="0.25">
      <c r="C19" s="78">
        <v>246</v>
      </c>
      <c r="D19" s="78">
        <v>179</v>
      </c>
    </row>
    <row r="20" spans="3:4" x14ac:dyDescent="0.25">
      <c r="C20" s="78">
        <v>130</v>
      </c>
      <c r="D20" s="78">
        <v>86</v>
      </c>
    </row>
    <row r="21" spans="3:4" x14ac:dyDescent="0.25">
      <c r="C21" s="78">
        <v>108</v>
      </c>
      <c r="D21" s="78">
        <v>95</v>
      </c>
    </row>
    <row r="22" spans="3:4" x14ac:dyDescent="0.25">
      <c r="C22" s="78">
        <v>180</v>
      </c>
      <c r="D22" s="78">
        <v>145</v>
      </c>
    </row>
    <row r="23" spans="3:4" x14ac:dyDescent="0.25">
      <c r="C23" s="78">
        <v>259</v>
      </c>
      <c r="D23" s="78">
        <v>180</v>
      </c>
    </row>
    <row r="24" spans="3:4" x14ac:dyDescent="0.25">
      <c r="C24" s="78">
        <v>309</v>
      </c>
      <c r="D24" s="78">
        <v>184</v>
      </c>
    </row>
    <row r="25" spans="3:4" x14ac:dyDescent="0.25">
      <c r="C25" s="78">
        <v>100</v>
      </c>
      <c r="D25" s="78">
        <v>99</v>
      </c>
    </row>
    <row r="26" spans="3:4" x14ac:dyDescent="0.25">
      <c r="C26" s="78">
        <v>204</v>
      </c>
      <c r="D26" s="78">
        <v>150</v>
      </c>
    </row>
    <row r="27" spans="3:4" x14ac:dyDescent="0.25">
      <c r="C27" s="78">
        <v>269</v>
      </c>
      <c r="D27" s="78">
        <v>185</v>
      </c>
    </row>
    <row r="28" spans="3:4" x14ac:dyDescent="0.25">
      <c r="C28" s="78">
        <v>255</v>
      </c>
      <c r="D28" s="78">
        <v>189</v>
      </c>
    </row>
    <row r="29" spans="3:4" x14ac:dyDescent="0.25">
      <c r="C29" s="78">
        <v>118</v>
      </c>
      <c r="D29" s="78">
        <v>118</v>
      </c>
    </row>
    <row r="30" spans="3:4" x14ac:dyDescent="0.25">
      <c r="C30" s="78">
        <v>226</v>
      </c>
      <c r="D30" s="78">
        <v>149</v>
      </c>
    </row>
    <row r="31" spans="3:4" x14ac:dyDescent="0.25">
      <c r="C31" s="78">
        <v>254</v>
      </c>
      <c r="D31" s="78">
        <v>175</v>
      </c>
    </row>
    <row r="32" spans="3:4" x14ac:dyDescent="0.25">
      <c r="C32" s="78">
        <v>267</v>
      </c>
      <c r="D32" s="78">
        <v>179</v>
      </c>
    </row>
    <row r="33" spans="3:4" x14ac:dyDescent="0.25">
      <c r="C33" s="78">
        <v>140</v>
      </c>
      <c r="D33" s="78">
        <v>118</v>
      </c>
    </row>
    <row r="34" spans="3:4" x14ac:dyDescent="0.25">
      <c r="C34" s="79">
        <v>343</v>
      </c>
      <c r="D34" s="79">
        <v>424.3</v>
      </c>
    </row>
    <row r="35" spans="3:4" x14ac:dyDescent="0.25">
      <c r="C35" s="79">
        <v>462</v>
      </c>
      <c r="D35" s="79">
        <v>424.3</v>
      </c>
    </row>
    <row r="36" spans="3:4" x14ac:dyDescent="0.25">
      <c r="C36" s="79">
        <v>310</v>
      </c>
      <c r="D36" s="79">
        <v>413.9</v>
      </c>
    </row>
    <row r="37" spans="3:4" x14ac:dyDescent="0.25">
      <c r="C37" s="79">
        <v>380</v>
      </c>
      <c r="D37" s="79">
        <v>413.9</v>
      </c>
    </row>
    <row r="38" spans="3:4" x14ac:dyDescent="0.25">
      <c r="C38" s="79">
        <v>94</v>
      </c>
      <c r="D38" s="79">
        <v>105</v>
      </c>
    </row>
    <row r="39" spans="3:4" x14ac:dyDescent="0.25">
      <c r="C39" s="79">
        <v>834</v>
      </c>
      <c r="D39" s="79">
        <v>1142</v>
      </c>
    </row>
    <row r="40" spans="3:4" x14ac:dyDescent="0.25">
      <c r="C40" s="79">
        <v>699</v>
      </c>
      <c r="D40" s="79">
        <v>1177</v>
      </c>
    </row>
    <row r="41" spans="3:4" x14ac:dyDescent="0.25">
      <c r="C41" s="78">
        <f>0.89*D41</f>
        <v>283.37599999999998</v>
      </c>
      <c r="D41" s="78">
        <v>318.39999999999998</v>
      </c>
    </row>
    <row r="42" spans="3:4" x14ac:dyDescent="0.25">
      <c r="C42" s="78">
        <f>0.7*D42</f>
        <v>275.17</v>
      </c>
      <c r="D42" s="78">
        <v>393.1</v>
      </c>
    </row>
    <row r="43" spans="3:4" x14ac:dyDescent="0.25">
      <c r="C43" s="78">
        <f>0.93*D43</f>
        <v>450.86400000000003</v>
      </c>
      <c r="D43" s="78">
        <v>484.8</v>
      </c>
    </row>
    <row r="44" spans="3:4" x14ac:dyDescent="0.25">
      <c r="C44" s="78">
        <f>0.8*D44</f>
        <v>396.88000000000005</v>
      </c>
      <c r="D44" s="78">
        <v>496.1</v>
      </c>
    </row>
    <row r="45" spans="3:4" x14ac:dyDescent="0.25">
      <c r="C45" s="80">
        <f>0.95*D45</f>
        <v>633.65</v>
      </c>
      <c r="D45" s="80">
        <v>667</v>
      </c>
    </row>
    <row r="46" spans="3:4" x14ac:dyDescent="0.25">
      <c r="C46" s="80">
        <f>0.48*D46</f>
        <v>351.84</v>
      </c>
      <c r="D46" s="80">
        <v>733</v>
      </c>
    </row>
    <row r="47" spans="3:4" x14ac:dyDescent="0.25">
      <c r="C47" s="81">
        <v>674</v>
      </c>
      <c r="D47" s="81">
        <v>772</v>
      </c>
    </row>
    <row r="48" spans="3:4" x14ac:dyDescent="0.25">
      <c r="C48" s="81">
        <v>550</v>
      </c>
      <c r="D48" s="81">
        <v>764</v>
      </c>
    </row>
    <row r="49" spans="3:4" x14ac:dyDescent="0.25">
      <c r="C49" s="81">
        <v>472</v>
      </c>
      <c r="D49" s="81">
        <v>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46"/>
  <sheetViews>
    <sheetView topLeftCell="L1" zoomScaleNormal="100" workbookViewId="0">
      <selection activeCell="T7" sqref="T7"/>
    </sheetView>
  </sheetViews>
  <sheetFormatPr defaultRowHeight="15" x14ac:dyDescent="0.25"/>
  <cols>
    <col min="1" max="1" width="10.7109375" style="2" customWidth="1"/>
    <col min="2" max="2" width="7" style="2" customWidth="1"/>
    <col min="3" max="3" width="7.42578125" style="2" customWidth="1"/>
    <col min="4" max="4" width="15" style="2" customWidth="1"/>
    <col min="5" max="5" width="10.85546875" style="2" customWidth="1"/>
    <col min="6" max="6" width="12.85546875" style="2" customWidth="1"/>
    <col min="7" max="7" width="12" style="2" customWidth="1"/>
    <col min="8" max="8" width="10.5703125" style="2" customWidth="1"/>
    <col min="9" max="9" width="10.85546875" style="2" customWidth="1"/>
    <col min="10" max="10" width="13.140625" style="2" customWidth="1"/>
    <col min="11" max="11" width="8.85546875" style="2" customWidth="1"/>
    <col min="12" max="12" width="8.42578125" style="2" customWidth="1"/>
    <col min="13" max="17" width="10" style="2" customWidth="1"/>
    <col min="18" max="21" width="14.7109375" style="2" customWidth="1"/>
    <col min="22" max="22" width="17.42578125" style="2" customWidth="1"/>
    <col min="23" max="23" width="17.85546875" style="2" customWidth="1"/>
    <col min="24" max="24" width="17.140625" style="2" customWidth="1"/>
    <col min="25" max="27" width="17.85546875" style="2" customWidth="1"/>
    <col min="28" max="28" width="9.42578125" style="2" customWidth="1"/>
    <col min="29" max="30" width="9.5703125" style="2" customWidth="1"/>
    <col min="31" max="31" width="10.7109375" style="2" customWidth="1"/>
    <col min="32" max="32" width="9.85546875" style="2" customWidth="1"/>
    <col min="33" max="33" width="12.5703125" style="2" customWidth="1"/>
    <col min="34" max="34" width="11.7109375" style="2" customWidth="1"/>
    <col min="35" max="35" width="11" style="2" customWidth="1"/>
    <col min="36" max="36" width="12.42578125" style="2" customWidth="1"/>
    <col min="37" max="38" width="14.28515625" style="2" customWidth="1"/>
    <col min="39" max="39" width="15.28515625" style="2" customWidth="1"/>
    <col min="40" max="40" width="15.7109375" style="2" customWidth="1"/>
    <col min="41" max="42" width="9.140625" style="1"/>
    <col min="43" max="16384" width="9.140625" style="2"/>
  </cols>
  <sheetData>
    <row r="1" spans="1:42" ht="80.25" customHeight="1" x14ac:dyDescent="0.25">
      <c r="A1" s="4" t="s">
        <v>25</v>
      </c>
      <c r="B1" s="4" t="s">
        <v>23</v>
      </c>
      <c r="C1" s="4" t="s">
        <v>24</v>
      </c>
      <c r="D1" s="4" t="s">
        <v>40</v>
      </c>
      <c r="E1" s="3" t="s">
        <v>19</v>
      </c>
      <c r="F1" s="4" t="s">
        <v>26</v>
      </c>
      <c r="G1" s="3" t="s">
        <v>18</v>
      </c>
      <c r="H1" s="3" t="s">
        <v>0</v>
      </c>
      <c r="I1" s="3" t="s">
        <v>9</v>
      </c>
      <c r="J1" s="3" t="s">
        <v>10</v>
      </c>
      <c r="K1" s="3" t="s">
        <v>16</v>
      </c>
      <c r="L1" s="3" t="s">
        <v>15</v>
      </c>
      <c r="M1" s="3" t="s">
        <v>21</v>
      </c>
      <c r="N1" s="3" t="s">
        <v>22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158</v>
      </c>
      <c r="U1" s="3" t="s">
        <v>38</v>
      </c>
      <c r="V1" s="3" t="s">
        <v>44</v>
      </c>
      <c r="W1" s="3" t="s">
        <v>39</v>
      </c>
      <c r="X1" s="26" t="s">
        <v>111</v>
      </c>
      <c r="Y1" s="26" t="s">
        <v>108</v>
      </c>
      <c r="Z1" s="26" t="s">
        <v>110</v>
      </c>
      <c r="AA1" s="55" t="s">
        <v>109</v>
      </c>
      <c r="AB1" s="3" t="s">
        <v>1</v>
      </c>
      <c r="AC1" s="3" t="s">
        <v>5</v>
      </c>
      <c r="AD1" s="3" t="s">
        <v>8</v>
      </c>
      <c r="AE1" s="3" t="s">
        <v>28</v>
      </c>
      <c r="AF1" s="3" t="s">
        <v>29</v>
      </c>
      <c r="AG1" s="3" t="s">
        <v>6</v>
      </c>
      <c r="AH1" s="3" t="s">
        <v>7</v>
      </c>
      <c r="AI1" s="3" t="s">
        <v>14</v>
      </c>
      <c r="AJ1" s="3" t="s">
        <v>11</v>
      </c>
      <c r="AK1" s="3" t="s">
        <v>13</v>
      </c>
      <c r="AL1" s="3" t="s">
        <v>30</v>
      </c>
      <c r="AM1" s="1" t="s">
        <v>20</v>
      </c>
      <c r="AN1" s="1" t="s">
        <v>27</v>
      </c>
      <c r="AO1" s="1" t="s">
        <v>32</v>
      </c>
      <c r="AP1" s="1" t="s">
        <v>37</v>
      </c>
    </row>
    <row r="2" spans="1:42" x14ac:dyDescent="0.25">
      <c r="A2" s="27" t="s">
        <v>135</v>
      </c>
      <c r="B2" s="27">
        <v>1</v>
      </c>
      <c r="C2" s="3">
        <v>1</v>
      </c>
      <c r="D2" s="3">
        <v>3.06</v>
      </c>
      <c r="E2" s="3">
        <v>40</v>
      </c>
      <c r="F2" s="3">
        <v>353</v>
      </c>
      <c r="G2" s="8">
        <f t="shared" ref="G2:G7" si="0">E2*AB2</f>
        <v>43207.200000000004</v>
      </c>
      <c r="H2" s="8">
        <f t="shared" ref="H2:H7" si="1">G2/($AN$5*AK2*0.001)</f>
        <v>1.5380296846634729E-6</v>
      </c>
      <c r="I2" s="8">
        <f>G2/(Table11232[[#This Row],[b (mm)]]*AC2^2)</f>
        <v>1.7337110481586405E-3</v>
      </c>
      <c r="J2" s="8">
        <f t="shared" ref="J2:J7" si="2">G2/(AG2*AI2*AC2*0.001)</f>
        <v>0.15207991650514391</v>
      </c>
      <c r="K2" s="8">
        <f t="shared" ref="K2:K7" si="3">E2/($AN$4*AJ2*0.001)</f>
        <v>1.1962300809000436E-6</v>
      </c>
      <c r="L2" s="8">
        <f>E2/(Table11232[[#This Row],[b (mm)]]*AC2)</f>
        <v>5.6657223796033991E-4</v>
      </c>
      <c r="M2" s="8">
        <f>Table11232[[#This Row],[M (KN.mm)]]/(Table11232[[#This Row],[b (mm)]]*Table11232[[#This Row],[d (mm)]])</f>
        <v>0.6120000000000001</v>
      </c>
      <c r="N2" s="8">
        <f>Table11232[[#This Row],[M (KN.mm)]]/(Table11232[[#This Row],[b (mm)]]*Table11232[[#This Row],[h (mm)]])</f>
        <v>0.54009000000000007</v>
      </c>
      <c r="O2" s="8">
        <f>Table11232[[#This Row],[M (KN.mm)]]/(Table11232[[#This Row],[b (mm)]]*Table11232[[#This Row],[h (mm)]]*Table11232[[#This Row],[L(mm)]])</f>
        <v>2.077269230769231E-4</v>
      </c>
      <c r="P2" s="8">
        <f>Table11232[[#This Row],[M (KN.mm)]]/(Table11232[[#This Row],[b (mm)]]*Table11232[[#This Row],[d (mm)]]*Table11232[[#This Row],[L(mm)]])</f>
        <v>2.3538461538461541E-4</v>
      </c>
      <c r="Q2" s="8">
        <f>Table11232[[#This Row],[M (KN.mm)]]/(Table11232[[#This Row],[b (mm)]]*Table11232[[#This Row],[h (mm)]]*Table11232[[#This Row],[L(mm)]]*Table11232[[#This Row],[fc (Mpa)]])</f>
        <v>4.1628641899182989E-6</v>
      </c>
      <c r="R2" s="8">
        <f>Table11232[[#This Row],[M (KN.mm)]]/(Table11232[[#This Row],[b (mm)]]*Table11232[[#This Row],[h (mm)]]*Table11232[[#This Row],[L(mm)]]/2)</f>
        <v>4.1545384615384619E-4</v>
      </c>
      <c r="S2" s="8">
        <f>Table11232[[#This Row],[M (KN.mm)]]/(Table11232[[#This Row],[a (mm)]]*Table11232[[#This Row],[b (mm)]]*Table11232[[#This Row],[h (mm)]]*Table11232[[#This Row],[L(mm)]]/2)</f>
        <v>3.8461538461538468E-7</v>
      </c>
      <c r="T2" s="8">
        <f>G2/($AN$5*AK2*0.001*Table11232[[#This Row],[pho (%)]])</f>
        <v>6.7457442309801456E-7</v>
      </c>
      <c r="U2" s="8">
        <f>Table11232[[#This Row],[M (KN.mm)]]/(Table11232[[#This Row],[b (mm)]]*Table11232[[#This Row],[d (mm)]]*Table11232[[#This Row],[pho (%)]])</f>
        <v>0.26842105263157895</v>
      </c>
      <c r="V2" s="8">
        <f>E2*224.8/(2*SQRT(Table11232[[#This Row],[fc (Mpa)]]*145.037)*Table11232[[#This Row],[b (mm)]]*Table11232[[#This Row],[d (mm)]]*(1/25.4)^2)</f>
        <v>0.48294687241508921</v>
      </c>
      <c r="W2" s="8">
        <f>Table11232[[#This Row],[M (KN.mm)]]/$G$7</f>
        <v>0.22471910112359553</v>
      </c>
      <c r="X2" s="8">
        <f>E2*224.8/(2*SQRT(Table11232[[#This Row],[fc (Mpa)]]*145.037)*Table11232[[#This Row],[b (mm)]]*Table11232[[#This Row],[d (mm)]]*(1/25.4)^2+Table11232[[#This Row],[Av fy d/s (N)]]*0.2248)</f>
        <v>0.32372662354978288</v>
      </c>
      <c r="Y2" s="8">
        <v>0.57699999999999996</v>
      </c>
      <c r="Z2" s="8">
        <f>Table11232[[#This Row],[Av fy/(b S) (Mpa)]]*Table11232[[#This Row],[d (mm)]]*Table11232[[#This Row],[b (mm)]]</f>
        <v>40736.199999999997</v>
      </c>
      <c r="AA2" s="8">
        <f>Table11232[[#This Row],[d (mm)]]/260</f>
        <v>1.3576923076923078</v>
      </c>
      <c r="AB2" s="8">
        <f>Table11232[[#This Row],[a/d]]*Table11232[[#This Row],[d]]</f>
        <v>1080.18</v>
      </c>
      <c r="AC2" s="8">
        <f>Table11232[[#This Row],[d]]</f>
        <v>353</v>
      </c>
      <c r="AD2" s="8">
        <v>400</v>
      </c>
      <c r="AE2" s="5">
        <v>200</v>
      </c>
      <c r="AF2" s="5">
        <v>49.9</v>
      </c>
      <c r="AG2" s="8">
        <f>Table11232[[#This Row],[pho (%)]]/100*Table11232[[#This Row],[b (mm)]]*Table11232[[#This Row],[d (mm)]]</f>
        <v>1609.6799999999998</v>
      </c>
      <c r="AH2" s="8">
        <v>2.2799999999999998</v>
      </c>
      <c r="AI2" s="8">
        <v>500</v>
      </c>
      <c r="AJ2" s="8">
        <f>(1/3-0.21*(MIN(Table11232[[#This Row],[b (mm)]],AD2)/MAX(Table11232[[#This Row],[b (mm)]],AD2))*(MIN(Table11232[[#This Row],[b (mm)]],AD2)^4/(12*MAX(Table11232[[#This Row],[b (mm)]],AD2)^4)))*MAX(Table11232[[#This Row],[b (mm)]],AD2)*MIN(Table11232[[#This Row],[b (mm)]],AD2)^3</f>
        <v>1064916666.6666665</v>
      </c>
      <c r="AK2" s="8">
        <f>Table11232[[#This Row],[b (mm)]]*AD2^3/12</f>
        <v>1066666666.6666666</v>
      </c>
      <c r="AL2" s="8">
        <v>2600</v>
      </c>
      <c r="AM2" s="12" t="s">
        <v>17</v>
      </c>
      <c r="AN2" s="6">
        <v>1250</v>
      </c>
    </row>
    <row r="3" spans="1:42" x14ac:dyDescent="0.25">
      <c r="A3" s="27" t="s">
        <v>135</v>
      </c>
      <c r="B3" s="27">
        <v>2</v>
      </c>
      <c r="C3" s="3">
        <v>2</v>
      </c>
      <c r="D3" s="3">
        <v>3.06</v>
      </c>
      <c r="E3" s="3">
        <v>60</v>
      </c>
      <c r="F3" s="3">
        <v>353</v>
      </c>
      <c r="G3" s="8">
        <f t="shared" si="0"/>
        <v>64810.8</v>
      </c>
      <c r="H3" s="8">
        <f t="shared" si="1"/>
        <v>2.3070445269952091E-6</v>
      </c>
      <c r="I3" s="8">
        <f>G3/(Table11232[[#This Row],[b (mm)]]*AC3^2)</f>
        <v>2.6005665722379605E-3</v>
      </c>
      <c r="J3" s="8">
        <f t="shared" si="2"/>
        <v>0.22811987475771586</v>
      </c>
      <c r="K3" s="8">
        <f t="shared" si="3"/>
        <v>1.7943451213500656E-6</v>
      </c>
      <c r="L3" s="8">
        <f>E3/(Table11232[[#This Row],[b (mm)]]*AC3)</f>
        <v>8.4985835694050991E-4</v>
      </c>
      <c r="M3" s="8">
        <f>Table11232[[#This Row],[M (KN.mm)]]/(Table11232[[#This Row],[b (mm)]]*Table11232[[#This Row],[d (mm)]])</f>
        <v>0.91800000000000004</v>
      </c>
      <c r="N3" s="8">
        <f>Table11232[[#This Row],[M (KN.mm)]]/(Table11232[[#This Row],[b (mm)]]*Table11232[[#This Row],[h (mm)]])</f>
        <v>0.81013500000000005</v>
      </c>
      <c r="O3" s="8">
        <f>Table11232[[#This Row],[M (KN.mm)]]/(Table11232[[#This Row],[b (mm)]]*Table11232[[#This Row],[h (mm)]]*Table11232[[#This Row],[L(mm)]])</f>
        <v>3.1159038461538462E-4</v>
      </c>
      <c r="P3" s="8">
        <f>Table11232[[#This Row],[M (KN.mm)]]/(Table11232[[#This Row],[b (mm)]]*Table11232[[#This Row],[d (mm)]]*Table11232[[#This Row],[L(mm)]])</f>
        <v>3.5307692307692308E-4</v>
      </c>
      <c r="Q3" s="8">
        <f>Table11232[[#This Row],[M (KN.mm)]]/(Table11232[[#This Row],[b (mm)]]*Table11232[[#This Row],[h (mm)]]*Table11232[[#This Row],[L(mm)]]*Table11232[[#This Row],[fc (Mpa)]])</f>
        <v>6.2442962848774475E-6</v>
      </c>
      <c r="R3" s="8">
        <f>Table11232[[#This Row],[M (KN.mm)]]/(Table11232[[#This Row],[b (mm)]]*Table11232[[#This Row],[h (mm)]]*Table11232[[#This Row],[L(mm)]]/2)</f>
        <v>6.2318076923076923E-4</v>
      </c>
      <c r="S3" s="8">
        <f>Table11232[[#This Row],[M (KN.mm)]]/(Table11232[[#This Row],[a (mm)]]*Table11232[[#This Row],[b (mm)]]*Table11232[[#This Row],[h (mm)]]*Table11232[[#This Row],[L(mm)]]/2)</f>
        <v>5.7692307692307691E-7</v>
      </c>
      <c r="T3" s="8">
        <f>G3/($AN$5*AK3*0.001*Table11232[[#This Row],[pho (%)]])</f>
        <v>1.0118616346470217E-6</v>
      </c>
      <c r="U3" s="8">
        <f>Table11232[[#This Row],[M (KN.mm)]]/(Table11232[[#This Row],[b (mm)]]*Table11232[[#This Row],[d (mm)]]*Table11232[[#This Row],[pho (%)]])</f>
        <v>0.40263157894736845</v>
      </c>
      <c r="V3" s="8">
        <f>E3*224.8/(2*SQRT(Table11232[[#This Row],[fc (Mpa)]]*145.037)*Table11232[[#This Row],[b (mm)]]*Table11232[[#This Row],[d (mm)]]*(1/25.4)^2)</f>
        <v>0.72442030862263385</v>
      </c>
      <c r="W3" s="8">
        <f>Table11232[[#This Row],[M (KN.mm)]]/$G$7</f>
        <v>0.33707865168539325</v>
      </c>
      <c r="X3" s="8">
        <f>E3*224.8/(2*SQRT(Table11232[[#This Row],[fc (Mpa)]]*145.037)*Table11232[[#This Row],[b (mm)]]*Table11232[[#This Row],[d (mm)]]*(1/25.4)^2+Table11232[[#This Row],[Av fy d/s (N)]]*0.2248)</f>
        <v>0.48558993532467426</v>
      </c>
      <c r="Y3" s="8">
        <v>0.57699999999999996</v>
      </c>
      <c r="Z3" s="8">
        <f>Table11232[[#This Row],[Av fy/(b S) (Mpa)]]*Table11232[[#This Row],[d (mm)]]*Table11232[[#This Row],[b (mm)]]</f>
        <v>40736.199999999997</v>
      </c>
      <c r="AA3" s="8">
        <f>Table11232[[#This Row],[d (mm)]]/260</f>
        <v>1.3576923076923078</v>
      </c>
      <c r="AB3" s="8">
        <f>Table11232[[#This Row],[a/d]]*Table11232[[#This Row],[d]]</f>
        <v>1080.18</v>
      </c>
      <c r="AC3" s="8">
        <f>Table11232[[#This Row],[d]]</f>
        <v>353</v>
      </c>
      <c r="AD3" s="8">
        <v>400</v>
      </c>
      <c r="AE3" s="5">
        <v>200</v>
      </c>
      <c r="AF3" s="5">
        <v>49.9</v>
      </c>
      <c r="AG3" s="8">
        <f>Table11232[[#This Row],[pho (%)]]/100*Table11232[[#This Row],[b (mm)]]*Table11232[[#This Row],[d (mm)]]</f>
        <v>1609.6799999999998</v>
      </c>
      <c r="AH3" s="8">
        <v>2.2799999999999998</v>
      </c>
      <c r="AI3" s="8">
        <v>500</v>
      </c>
      <c r="AJ3" s="8">
        <f>(1/3-0.21*(MIN(Table11232[[#This Row],[b (mm)]],AD3)/MAX(Table11232[[#This Row],[b (mm)]],AD3))*(MIN(Table11232[[#This Row],[b (mm)]],AD3)^4/(12*MAX(Table11232[[#This Row],[b (mm)]],AD3)^4)))*MAX(Table11232[[#This Row],[b (mm)]],AD3)*MIN(Table11232[[#This Row],[b (mm)]],AD3)^3</f>
        <v>1064916666.6666665</v>
      </c>
      <c r="AK3" s="8">
        <f>Table11232[[#This Row],[b (mm)]]*AD3^3/12</f>
        <v>1066666666.6666666</v>
      </c>
      <c r="AL3" s="8">
        <v>2600</v>
      </c>
      <c r="AM3" s="12" t="s">
        <v>2</v>
      </c>
      <c r="AN3" s="6">
        <v>200</v>
      </c>
    </row>
    <row r="4" spans="1:42" x14ac:dyDescent="0.25">
      <c r="A4" s="27" t="s">
        <v>135</v>
      </c>
      <c r="B4" s="27">
        <v>3</v>
      </c>
      <c r="C4" s="3">
        <v>3</v>
      </c>
      <c r="D4" s="3">
        <v>3.06</v>
      </c>
      <c r="E4" s="3">
        <v>85</v>
      </c>
      <c r="F4" s="3">
        <v>353</v>
      </c>
      <c r="G4" s="8">
        <f t="shared" si="0"/>
        <v>91815.3</v>
      </c>
      <c r="H4" s="8">
        <f t="shared" si="1"/>
        <v>3.2683130799098796E-6</v>
      </c>
      <c r="I4" s="8">
        <f>G4/(Table11232[[#This Row],[b (mm)]]*AC4^2)</f>
        <v>3.6841359773371104E-3</v>
      </c>
      <c r="J4" s="8">
        <f t="shared" si="2"/>
        <v>0.3231698225734308</v>
      </c>
      <c r="K4" s="8">
        <f t="shared" si="3"/>
        <v>2.5419889219125928E-6</v>
      </c>
      <c r="L4" s="8">
        <f>E4/(Table11232[[#This Row],[b (mm)]]*AC4)</f>
        <v>1.2039660056657223E-3</v>
      </c>
      <c r="M4" s="8">
        <f>Table11232[[#This Row],[M (KN.mm)]]/(Table11232[[#This Row],[b (mm)]]*Table11232[[#This Row],[d (mm)]])</f>
        <v>1.3005</v>
      </c>
      <c r="N4" s="8">
        <f>Table11232[[#This Row],[M (KN.mm)]]/(Table11232[[#This Row],[b (mm)]]*Table11232[[#This Row],[h (mm)]])</f>
        <v>1.1476912500000001</v>
      </c>
      <c r="O4" s="8">
        <f>Table11232[[#This Row],[M (KN.mm)]]/(Table11232[[#This Row],[b (mm)]]*Table11232[[#This Row],[h (mm)]]*Table11232[[#This Row],[L(mm)]])</f>
        <v>4.4141971153846153E-4</v>
      </c>
      <c r="P4" s="8">
        <f>Table11232[[#This Row],[M (KN.mm)]]/(Table11232[[#This Row],[b (mm)]]*Table11232[[#This Row],[d (mm)]]*Table11232[[#This Row],[L(mm)]])</f>
        <v>5.0019230769230772E-4</v>
      </c>
      <c r="Q4" s="8">
        <f>Table11232[[#This Row],[M (KN.mm)]]/(Table11232[[#This Row],[b (mm)]]*Table11232[[#This Row],[h (mm)]]*Table11232[[#This Row],[L(mm)]]*Table11232[[#This Row],[fc (Mpa)]])</f>
        <v>8.8460864035763845E-6</v>
      </c>
      <c r="R4" s="8">
        <f>Table11232[[#This Row],[M (KN.mm)]]/(Table11232[[#This Row],[b (mm)]]*Table11232[[#This Row],[h (mm)]]*Table11232[[#This Row],[L(mm)]]/2)</f>
        <v>8.8283942307692306E-4</v>
      </c>
      <c r="S4" s="8">
        <f>Table11232[[#This Row],[M (KN.mm)]]/(Table11232[[#This Row],[a (mm)]]*Table11232[[#This Row],[b (mm)]]*Table11232[[#This Row],[h (mm)]]*Table11232[[#This Row],[L(mm)]]/2)</f>
        <v>8.1730769230769228E-7</v>
      </c>
      <c r="T4" s="8">
        <f>G4/($AN$5*AK4*0.001*Table11232[[#This Row],[pho (%)]])</f>
        <v>1.4334706490832808E-6</v>
      </c>
      <c r="U4" s="8">
        <f>Table11232[[#This Row],[M (KN.mm)]]/(Table11232[[#This Row],[b (mm)]]*Table11232[[#This Row],[d (mm)]]*Table11232[[#This Row],[pho (%)]])</f>
        <v>0.57039473684210529</v>
      </c>
      <c r="V4" s="8">
        <f>E4*224.8/(2*SQRT(Table11232[[#This Row],[fc (Mpa)]]*145.037)*Table11232[[#This Row],[b (mm)]]*Table11232[[#This Row],[d (mm)]]*(1/25.4)^2)</f>
        <v>1.0262621038820645</v>
      </c>
      <c r="W4" s="8">
        <f>Table11232[[#This Row],[M (KN.mm)]]/$G$7</f>
        <v>0.47752808988764045</v>
      </c>
      <c r="X4" s="8">
        <f>E4*224.8/(2*SQRT(Table11232[[#This Row],[fc (Mpa)]]*145.037)*Table11232[[#This Row],[b (mm)]]*Table11232[[#This Row],[d (mm)]]*(1/25.4)^2+Table11232[[#This Row],[Av fy d/s (N)]]*0.2248)</f>
        <v>0.68791907504328853</v>
      </c>
      <c r="Y4" s="8">
        <v>0.57699999999999996</v>
      </c>
      <c r="Z4" s="8">
        <f>Table11232[[#This Row],[Av fy/(b S) (Mpa)]]*Table11232[[#This Row],[d (mm)]]*Table11232[[#This Row],[b (mm)]]</f>
        <v>40736.199999999997</v>
      </c>
      <c r="AA4" s="8">
        <f>Table11232[[#This Row],[d (mm)]]/260</f>
        <v>1.3576923076923078</v>
      </c>
      <c r="AB4" s="8">
        <f>Table11232[[#This Row],[a/d]]*Table11232[[#This Row],[d]]</f>
        <v>1080.18</v>
      </c>
      <c r="AC4" s="8">
        <f>Table11232[[#This Row],[d]]</f>
        <v>353</v>
      </c>
      <c r="AD4" s="8">
        <v>400</v>
      </c>
      <c r="AE4" s="5">
        <v>200</v>
      </c>
      <c r="AF4" s="5">
        <v>49.9</v>
      </c>
      <c r="AG4" s="8">
        <f>Table11232[[#This Row],[pho (%)]]/100*Table11232[[#This Row],[b (mm)]]*Table11232[[#This Row],[d (mm)]]</f>
        <v>1609.6799999999998</v>
      </c>
      <c r="AH4" s="8">
        <v>2.2799999999999998</v>
      </c>
      <c r="AI4" s="8">
        <v>500</v>
      </c>
      <c r="AJ4" s="8">
        <f>(1/3-0.21*(MIN(Table11232[[#This Row],[b (mm)]],AD4)/MAX(Table11232[[#This Row],[b (mm)]],AD4))*(MIN(Table11232[[#This Row],[b (mm)]],AD4)^4/(12*MAX(Table11232[[#This Row],[b (mm)]],AD4)^4)))*MAX(Table11232[[#This Row],[b (mm)]],AD4)*MIN(Table11232[[#This Row],[b (mm)]],AD4)^3</f>
        <v>1064916666.6666665</v>
      </c>
      <c r="AK4" s="8">
        <f>Table11232[[#This Row],[b (mm)]]*AD4^3/12</f>
        <v>1066666666.6666666</v>
      </c>
      <c r="AL4" s="8">
        <v>2600</v>
      </c>
      <c r="AM4" s="12" t="s">
        <v>3</v>
      </c>
      <c r="AN4" s="6">
        <v>31.4</v>
      </c>
    </row>
    <row r="5" spans="1:42" x14ac:dyDescent="0.25">
      <c r="A5" s="27" t="s">
        <v>135</v>
      </c>
      <c r="B5" s="27">
        <v>4</v>
      </c>
      <c r="C5" s="3">
        <v>4</v>
      </c>
      <c r="D5" s="3">
        <v>3.06</v>
      </c>
      <c r="E5" s="3">
        <v>110</v>
      </c>
      <c r="F5" s="3">
        <v>353</v>
      </c>
      <c r="G5" s="8">
        <f t="shared" si="0"/>
        <v>118819.8</v>
      </c>
      <c r="H5" s="8">
        <f t="shared" si="1"/>
        <v>4.2295816328245506E-6</v>
      </c>
      <c r="I5" s="8">
        <f>G5/(Table11232[[#This Row],[b (mm)]]*AC5^2)</f>
        <v>4.7677053824362612E-3</v>
      </c>
      <c r="J5" s="8">
        <f t="shared" si="2"/>
        <v>0.41821977038914576</v>
      </c>
      <c r="K5" s="8">
        <f t="shared" si="3"/>
        <v>3.28963272247512E-6</v>
      </c>
      <c r="L5" s="8">
        <f>E5/(Table11232[[#This Row],[b (mm)]]*AC5)</f>
        <v>1.5580736543909348E-3</v>
      </c>
      <c r="M5" s="8">
        <f>Table11232[[#This Row],[M (KN.mm)]]/(Table11232[[#This Row],[b (mm)]]*Table11232[[#This Row],[d (mm)]])</f>
        <v>1.6830000000000001</v>
      </c>
      <c r="N5" s="8">
        <f>Table11232[[#This Row],[M (KN.mm)]]/(Table11232[[#This Row],[b (mm)]]*Table11232[[#This Row],[h (mm)]])</f>
        <v>1.4852475000000001</v>
      </c>
      <c r="O5" s="8">
        <f>Table11232[[#This Row],[M (KN.mm)]]/(Table11232[[#This Row],[b (mm)]]*Table11232[[#This Row],[h (mm)]]*Table11232[[#This Row],[L(mm)]])</f>
        <v>5.7124903846153844E-4</v>
      </c>
      <c r="P5" s="8">
        <f>Table11232[[#This Row],[M (KN.mm)]]/(Table11232[[#This Row],[b (mm)]]*Table11232[[#This Row],[d (mm)]]*Table11232[[#This Row],[L(mm)]])</f>
        <v>6.4730769230769236E-4</v>
      </c>
      <c r="Q5" s="8">
        <f>Table11232[[#This Row],[M (KN.mm)]]/(Table11232[[#This Row],[b (mm)]]*Table11232[[#This Row],[h (mm)]]*Table11232[[#This Row],[L(mm)]]*Table11232[[#This Row],[fc (Mpa)]])</f>
        <v>1.144787652227532E-5</v>
      </c>
      <c r="R5" s="8">
        <f>Table11232[[#This Row],[M (KN.mm)]]/(Table11232[[#This Row],[b (mm)]]*Table11232[[#This Row],[h (mm)]]*Table11232[[#This Row],[L(mm)]]/2)</f>
        <v>1.1424980769230769E-3</v>
      </c>
      <c r="S5" s="8">
        <f>Table11232[[#This Row],[M (KN.mm)]]/(Table11232[[#This Row],[a (mm)]]*Table11232[[#This Row],[b (mm)]]*Table11232[[#This Row],[h (mm)]]*Table11232[[#This Row],[L(mm)]]/2)</f>
        <v>1.0576923076923078E-6</v>
      </c>
      <c r="T5" s="8">
        <f>G5/($AN$5*AK5*0.001*Table11232[[#This Row],[pho (%)]])</f>
        <v>1.8550796635195398E-6</v>
      </c>
      <c r="U5" s="8">
        <f>Table11232[[#This Row],[M (KN.mm)]]/(Table11232[[#This Row],[b (mm)]]*Table11232[[#This Row],[d (mm)]]*Table11232[[#This Row],[pho (%)]])</f>
        <v>0.73815789473684212</v>
      </c>
      <c r="V5" s="8">
        <f>E5*224.8/(2*SQRT(Table11232[[#This Row],[fc (Mpa)]]*145.037)*Table11232[[#This Row],[b (mm)]]*Table11232[[#This Row],[d (mm)]]*(1/25.4)^2)</f>
        <v>1.3281038991414953</v>
      </c>
      <c r="W5" s="8">
        <f>Table11232[[#This Row],[M (KN.mm)]]/$G$7</f>
        <v>0.6179775280898876</v>
      </c>
      <c r="X5" s="8">
        <f>E5*224.8/(2*SQRT(Table11232[[#This Row],[fc (Mpa)]]*145.037)*Table11232[[#This Row],[b (mm)]]*Table11232[[#This Row],[d (mm)]]*(1/25.4)^2+Table11232[[#This Row],[Av fy d/s (N)]]*0.2248)</f>
        <v>0.89024821476190286</v>
      </c>
      <c r="Y5" s="8">
        <v>0.57699999999999996</v>
      </c>
      <c r="Z5" s="8">
        <f>Table11232[[#This Row],[Av fy/(b S) (Mpa)]]*Table11232[[#This Row],[d (mm)]]*Table11232[[#This Row],[b (mm)]]</f>
        <v>40736.199999999997</v>
      </c>
      <c r="AA5" s="8">
        <f>Table11232[[#This Row],[d (mm)]]/260</f>
        <v>1.3576923076923078</v>
      </c>
      <c r="AB5" s="8">
        <f>Table11232[[#This Row],[a/d]]*Table11232[[#This Row],[d]]</f>
        <v>1080.18</v>
      </c>
      <c r="AC5" s="8">
        <f>Table11232[[#This Row],[d]]</f>
        <v>353</v>
      </c>
      <c r="AD5" s="8">
        <v>400</v>
      </c>
      <c r="AE5" s="5">
        <v>200</v>
      </c>
      <c r="AF5" s="5">
        <v>49.9</v>
      </c>
      <c r="AG5" s="8">
        <f>Table11232[[#This Row],[pho (%)]]/100*Table11232[[#This Row],[b (mm)]]*Table11232[[#This Row],[d (mm)]]</f>
        <v>1609.6799999999998</v>
      </c>
      <c r="AH5" s="8">
        <v>2.2799999999999998</v>
      </c>
      <c r="AI5" s="8">
        <v>500</v>
      </c>
      <c r="AJ5" s="8">
        <f>(1/3-0.21*(MIN(Table11232[[#This Row],[b (mm)]],AD5)/MAX(Table11232[[#This Row],[b (mm)]],AD5))*(MIN(Table11232[[#This Row],[b (mm)]],AD5)^4/(12*MAX(Table11232[[#This Row],[b (mm)]],AD5)^4)))*MAX(Table11232[[#This Row],[b (mm)]],AD5)*MIN(Table11232[[#This Row],[b (mm)]],AD5)^3</f>
        <v>1064916666.6666665</v>
      </c>
      <c r="AK5" s="8">
        <f>Table11232[[#This Row],[b (mm)]]*AD5^3/12</f>
        <v>1066666666.6666666</v>
      </c>
      <c r="AL5" s="8">
        <v>2600</v>
      </c>
      <c r="AM5" s="12" t="s">
        <v>4</v>
      </c>
      <c r="AN5" s="6">
        <f>4700*SQRT(AN4)</f>
        <v>26336.780365109171</v>
      </c>
    </row>
    <row r="6" spans="1:42" x14ac:dyDescent="0.25">
      <c r="A6" s="27" t="s">
        <v>135</v>
      </c>
      <c r="B6" s="27">
        <v>5</v>
      </c>
      <c r="C6" s="3">
        <v>5</v>
      </c>
      <c r="D6" s="3">
        <v>3.06</v>
      </c>
      <c r="E6" s="3">
        <v>130</v>
      </c>
      <c r="F6" s="3">
        <v>353</v>
      </c>
      <c r="G6" s="8">
        <f t="shared" si="0"/>
        <v>140423.4</v>
      </c>
      <c r="H6" s="8">
        <f t="shared" si="1"/>
        <v>4.9985964751562868E-6</v>
      </c>
      <c r="I6" s="8">
        <f>G6/(Table11232[[#This Row],[b (mm)]]*AC6^2)</f>
        <v>5.6345609065155807E-3</v>
      </c>
      <c r="J6" s="8">
        <f t="shared" si="2"/>
        <v>0.49425972864171763</v>
      </c>
      <c r="K6" s="8">
        <f t="shared" si="3"/>
        <v>3.8877477629251424E-6</v>
      </c>
      <c r="L6" s="8">
        <f>E6/(Table11232[[#This Row],[b (mm)]]*AC6)</f>
        <v>1.8413597733711049E-3</v>
      </c>
      <c r="M6" s="8">
        <f>Table11232[[#This Row],[M (KN.mm)]]/(Table11232[[#This Row],[b (mm)]]*Table11232[[#This Row],[d (mm)]])</f>
        <v>1.9889999999999999</v>
      </c>
      <c r="N6" s="8">
        <f>Table11232[[#This Row],[M (KN.mm)]]/(Table11232[[#This Row],[b (mm)]]*Table11232[[#This Row],[h (mm)]])</f>
        <v>1.7552924999999999</v>
      </c>
      <c r="O6" s="8">
        <f>Table11232[[#This Row],[M (KN.mm)]]/(Table11232[[#This Row],[b (mm)]]*Table11232[[#This Row],[h (mm)]]*Table11232[[#This Row],[L(mm)]])</f>
        <v>6.7511250000000002E-4</v>
      </c>
      <c r="P6" s="8">
        <f>Table11232[[#This Row],[M (KN.mm)]]/(Table11232[[#This Row],[b (mm)]]*Table11232[[#This Row],[d (mm)]]*Table11232[[#This Row],[L(mm)]])</f>
        <v>7.6499999999999995E-4</v>
      </c>
      <c r="Q6" s="8">
        <f>Table11232[[#This Row],[M (KN.mm)]]/(Table11232[[#This Row],[b (mm)]]*Table11232[[#This Row],[h (mm)]]*Table11232[[#This Row],[L(mm)]]*Table11232[[#This Row],[fc (Mpa)]])</f>
        <v>1.3529308617234468E-5</v>
      </c>
      <c r="R6" s="8">
        <f>Table11232[[#This Row],[M (KN.mm)]]/(Table11232[[#This Row],[b (mm)]]*Table11232[[#This Row],[h (mm)]]*Table11232[[#This Row],[L(mm)]]/2)</f>
        <v>1.350225E-3</v>
      </c>
      <c r="S6" s="8">
        <f>Table11232[[#This Row],[M (KN.mm)]]/(Table11232[[#This Row],[a (mm)]]*Table11232[[#This Row],[b (mm)]]*Table11232[[#This Row],[h (mm)]]*Table11232[[#This Row],[L(mm)]]/2)</f>
        <v>1.2499999999999999E-6</v>
      </c>
      <c r="T6" s="8">
        <f>G6/($AN$5*AK6*0.001*Table11232[[#This Row],[pho (%)]])</f>
        <v>2.1923668750685468E-6</v>
      </c>
      <c r="U6" s="8">
        <f>Table11232[[#This Row],[M (KN.mm)]]/(Table11232[[#This Row],[b (mm)]]*Table11232[[#This Row],[d (mm)]]*Table11232[[#This Row],[pho (%)]])</f>
        <v>0.87236842105263157</v>
      </c>
      <c r="V6" s="8">
        <f>E6*224.8/(2*SQRT(Table11232[[#This Row],[fc (Mpa)]]*145.037)*Table11232[[#This Row],[b (mm)]]*Table11232[[#This Row],[d (mm)]]*(1/25.4)^2)</f>
        <v>1.5695773353490399</v>
      </c>
      <c r="W6" s="8">
        <f>Table11232[[#This Row],[M (KN.mm)]]/$G$7</f>
        <v>0.73033707865168529</v>
      </c>
      <c r="X6" s="8">
        <f>E6*224.8/(2*SQRT(Table11232[[#This Row],[fc (Mpa)]]*145.037)*Table11232[[#This Row],[b (mm)]]*Table11232[[#This Row],[d (mm)]]*(1/25.4)^2+Table11232[[#This Row],[Av fy d/s (N)]]*0.2248)</f>
        <v>1.0521115265367942</v>
      </c>
      <c r="Y6" s="8">
        <v>0.57699999999999996</v>
      </c>
      <c r="Z6" s="8">
        <f>Table11232[[#This Row],[Av fy/(b S) (Mpa)]]*Table11232[[#This Row],[d (mm)]]*Table11232[[#This Row],[b (mm)]]</f>
        <v>40736.199999999997</v>
      </c>
      <c r="AA6" s="8">
        <f>Table11232[[#This Row],[d (mm)]]/260</f>
        <v>1.3576923076923078</v>
      </c>
      <c r="AB6" s="8">
        <f>Table11232[[#This Row],[a/d]]*Table11232[[#This Row],[d]]</f>
        <v>1080.18</v>
      </c>
      <c r="AC6" s="8">
        <f>Table11232[[#This Row],[d]]</f>
        <v>353</v>
      </c>
      <c r="AD6" s="8">
        <v>400</v>
      </c>
      <c r="AE6" s="5">
        <v>200</v>
      </c>
      <c r="AF6" s="5">
        <v>49.9</v>
      </c>
      <c r="AG6" s="8">
        <f>Table11232[[#This Row],[pho (%)]]/100*Table11232[[#This Row],[b (mm)]]*Table11232[[#This Row],[d (mm)]]</f>
        <v>1609.6799999999998</v>
      </c>
      <c r="AH6" s="8">
        <v>2.2799999999999998</v>
      </c>
      <c r="AI6" s="8">
        <v>500</v>
      </c>
      <c r="AJ6" s="8">
        <f>(1/3-0.21*(MIN(Table11232[[#This Row],[b (mm)]],AD6)/MAX(Table11232[[#This Row],[b (mm)]],AD6))*(MIN(Table11232[[#This Row],[b (mm)]],AD6)^4/(12*MAX(Table11232[[#This Row],[b (mm)]],AD6)^4)))*MAX(Table11232[[#This Row],[b (mm)]],AD6)*MIN(Table11232[[#This Row],[b (mm)]],AD6)^3</f>
        <v>1064916666.6666665</v>
      </c>
      <c r="AK6" s="8">
        <f>Table11232[[#This Row],[b (mm)]]*AD6^3/12</f>
        <v>1066666666.6666666</v>
      </c>
      <c r="AL6" s="8">
        <v>2600</v>
      </c>
      <c r="AM6" s="12" t="s">
        <v>12</v>
      </c>
      <c r="AN6" s="6">
        <f>AN5/(2*(1+0.15))</f>
        <v>11450.774071786596</v>
      </c>
    </row>
    <row r="7" spans="1:42" x14ac:dyDescent="0.25">
      <c r="A7" s="27" t="s">
        <v>135</v>
      </c>
      <c r="B7" s="27">
        <v>6</v>
      </c>
      <c r="C7" s="3">
        <v>6</v>
      </c>
      <c r="D7" s="3">
        <v>3.06</v>
      </c>
      <c r="E7" s="3">
        <v>178</v>
      </c>
      <c r="F7" s="3">
        <v>353</v>
      </c>
      <c r="G7" s="8">
        <f t="shared" si="0"/>
        <v>192272.04</v>
      </c>
      <c r="H7" s="8">
        <f t="shared" si="1"/>
        <v>6.8442320967524541E-6</v>
      </c>
      <c r="I7" s="8">
        <f>G7/(Table11232[[#This Row],[b (mm)]]*AC7^2)</f>
        <v>7.7150141643059491E-3</v>
      </c>
      <c r="J7" s="8">
        <f t="shared" si="2"/>
        <v>0.67675562844789039</v>
      </c>
      <c r="K7" s="8">
        <f t="shared" si="3"/>
        <v>5.3232238600051947E-6</v>
      </c>
      <c r="L7" s="8">
        <f>E7/(Table11232[[#This Row],[b (mm)]]*AC7)</f>
        <v>2.5212464589235129E-3</v>
      </c>
      <c r="M7" s="8">
        <f>Table11232[[#This Row],[M (KN.mm)]]/(Table11232[[#This Row],[b (mm)]]*Table11232[[#This Row],[d (mm)]])</f>
        <v>2.7234000000000003</v>
      </c>
      <c r="N7" s="8">
        <f>Table11232[[#This Row],[M (KN.mm)]]/(Table11232[[#This Row],[b (mm)]]*Table11232[[#This Row],[h (mm)]])</f>
        <v>2.4034005000000001</v>
      </c>
      <c r="O7" s="8">
        <f>Table11232[[#This Row],[M (KN.mm)]]/(Table11232[[#This Row],[b (mm)]]*Table11232[[#This Row],[h (mm)]]*Table11232[[#This Row],[L(mm)]])</f>
        <v>9.2438480769230778E-4</v>
      </c>
      <c r="P7" s="8">
        <f>Table11232[[#This Row],[M (KN.mm)]]/(Table11232[[#This Row],[b (mm)]]*Table11232[[#This Row],[d (mm)]]*Table11232[[#This Row],[L(mm)]])</f>
        <v>1.0474615384615386E-3</v>
      </c>
      <c r="Q7" s="8">
        <f>Table11232[[#This Row],[M (KN.mm)]]/(Table11232[[#This Row],[b (mm)]]*Table11232[[#This Row],[h (mm)]]*Table11232[[#This Row],[L(mm)]]*Table11232[[#This Row],[fc (Mpa)]])</f>
        <v>1.8524745645136426E-5</v>
      </c>
      <c r="R7" s="8">
        <f>Table11232[[#This Row],[M (KN.mm)]]/(Table11232[[#This Row],[b (mm)]]*Table11232[[#This Row],[h (mm)]]*Table11232[[#This Row],[L(mm)]]/2)</f>
        <v>1.8487696153846156E-3</v>
      </c>
      <c r="S7" s="8">
        <f>Table11232[[#This Row],[M (KN.mm)]]/(Table11232[[#This Row],[a (mm)]]*Table11232[[#This Row],[b (mm)]]*Table11232[[#This Row],[h (mm)]]*Table11232[[#This Row],[L(mm)]]/2)</f>
        <v>1.7115384615384615E-6</v>
      </c>
      <c r="T7" s="8">
        <f>G7/($AN$5*AK7*0.001*Table11232[[#This Row],[pho (%)]])</f>
        <v>3.0018561827861644E-6</v>
      </c>
      <c r="U7" s="8">
        <f>Table11232[[#This Row],[M (KN.mm)]]/(Table11232[[#This Row],[b (mm)]]*Table11232[[#This Row],[d (mm)]]*Table11232[[#This Row],[pho (%)]])</f>
        <v>1.1944736842105264</v>
      </c>
      <c r="V7" s="8">
        <f>E7*224.8/(2*SQRT(Table11232[[#This Row],[fc (Mpa)]]*145.037)*Table11232[[#This Row],[b (mm)]]*Table11232[[#This Row],[d (mm)]]*(1/25.4)^2)</f>
        <v>2.1491135822471472</v>
      </c>
      <c r="W7" s="8">
        <f>Table11232[[#This Row],[M (KN.mm)]]/$G$7</f>
        <v>1</v>
      </c>
      <c r="X7" s="8">
        <f>E7*224.8/(2*SQRT(Table11232[[#This Row],[fc (Mpa)]]*145.037)*Table11232[[#This Row],[b (mm)]]*Table11232[[#This Row],[d (mm)]]*(1/25.4)^2+Table11232[[#This Row],[Av fy d/s (N)]]*0.2248)</f>
        <v>1.4405834747965338</v>
      </c>
      <c r="Y7" s="8">
        <v>0.57699999999999996</v>
      </c>
      <c r="Z7" s="8">
        <f>Table11232[[#This Row],[Av fy/(b S) (Mpa)]]*Table11232[[#This Row],[d (mm)]]*Table11232[[#This Row],[b (mm)]]</f>
        <v>40736.199999999997</v>
      </c>
      <c r="AA7" s="8">
        <f>Table11232[[#This Row],[d (mm)]]/260</f>
        <v>1.3576923076923078</v>
      </c>
      <c r="AB7" s="8">
        <f>Table11232[[#This Row],[a/d]]*Table11232[[#This Row],[d]]</f>
        <v>1080.18</v>
      </c>
      <c r="AC7" s="8">
        <f>Table11232[[#This Row],[d]]</f>
        <v>353</v>
      </c>
      <c r="AD7" s="8">
        <v>400</v>
      </c>
      <c r="AE7" s="5">
        <v>200</v>
      </c>
      <c r="AF7" s="5">
        <v>49.9</v>
      </c>
      <c r="AG7" s="8">
        <f>Table11232[[#This Row],[pho (%)]]/100*Table11232[[#This Row],[b (mm)]]*Table11232[[#This Row],[d (mm)]]</f>
        <v>1609.6799999999998</v>
      </c>
      <c r="AH7" s="8">
        <v>2.2799999999999998</v>
      </c>
      <c r="AI7" s="8">
        <v>500</v>
      </c>
      <c r="AJ7" s="8">
        <f>(1/3-0.21*(MIN(Table11232[[#This Row],[b (mm)]],AD7)/MAX(Table11232[[#This Row],[b (mm)]],AD7))*(MIN(Table11232[[#This Row],[b (mm)]],AD7)^4/(12*MAX(Table11232[[#This Row],[b (mm)]],AD7)^4)))*MAX(Table11232[[#This Row],[b (mm)]],AD7)*MIN(Table11232[[#This Row],[b (mm)]],AD7)^3</f>
        <v>1064916666.6666665</v>
      </c>
      <c r="AK7" s="8">
        <f>Table11232[[#This Row],[b (mm)]]*AD7^3/12</f>
        <v>1066666666.6666666</v>
      </c>
      <c r="AL7" s="8">
        <v>2600</v>
      </c>
      <c r="AM7" s="12"/>
      <c r="AN7" s="6"/>
    </row>
    <row r="8" spans="1:42" x14ac:dyDescent="0.25">
      <c r="A8" s="28" t="s">
        <v>136</v>
      </c>
      <c r="B8" s="15">
        <v>1</v>
      </c>
      <c r="C8" s="3">
        <v>7</v>
      </c>
      <c r="D8" s="15">
        <v>3.08</v>
      </c>
      <c r="E8" s="15">
        <v>35</v>
      </c>
      <c r="F8" s="15">
        <v>351</v>
      </c>
      <c r="G8" s="8">
        <f t="shared" ref="G8:G15" si="4">E8*AB8</f>
        <v>37837.799999999996</v>
      </c>
      <c r="H8" s="8">
        <f t="shared" ref="H8:H15" si="5">G8/($AN$5*AK8*0.001)</f>
        <v>1.3468972671767562E-6</v>
      </c>
      <c r="I8" s="8">
        <f>G8/(Table11232[[#This Row],[b (mm)]]*AC8^2)</f>
        <v>1.5356125356125354E-3</v>
      </c>
      <c r="J8" s="8">
        <f t="shared" ref="J8:J15" si="6">G8/(AG8*AI8*AC8*0.001)</f>
        <v>0.1341146319312258</v>
      </c>
      <c r="K8" s="8">
        <f t="shared" ref="K8:K15" si="7">E8/($AN$4*AJ8*0.001)</f>
        <v>1.0467013207875382E-6</v>
      </c>
      <c r="L8" s="8">
        <f>E8/(Table11232[[#This Row],[b (mm)]]*AC8)</f>
        <v>4.9857549857549861E-4</v>
      </c>
      <c r="M8" s="8">
        <f>Table11232[[#This Row],[M (KN.mm)]]/(Table11232[[#This Row],[b (mm)]]*Table11232[[#This Row],[d (mm)]])</f>
        <v>0.53899999999999992</v>
      </c>
      <c r="N8" s="8">
        <f>Table11232[[#This Row],[M (KN.mm)]]/(Table11232[[#This Row],[b (mm)]]*Table11232[[#This Row],[h (mm)]])</f>
        <v>0.47297249999999996</v>
      </c>
      <c r="O8" s="8">
        <f>Table11232[[#This Row],[M (KN.mm)]]/(Table11232[[#This Row],[b (mm)]]*Table11232[[#This Row],[h (mm)]]*Table11232[[#This Row],[L(mm)]])</f>
        <v>1.8191249999999998E-4</v>
      </c>
      <c r="P8" s="8">
        <f>Table11232[[#This Row],[M (KN.mm)]]/(Table11232[[#This Row],[b (mm)]]*Table11232[[#This Row],[d (mm)]]*Table11232[[#This Row],[L(mm)]])</f>
        <v>2.0730769230769229E-4</v>
      </c>
      <c r="Q8" s="8">
        <f>Table11232[[#This Row],[M (KN.mm)]]/(Table11232[[#This Row],[b (mm)]]*Table11232[[#This Row],[h (mm)]]*Table11232[[#This Row],[L(mm)]]*Table11232[[#This Row],[fc (Mpa)]])</f>
        <v>3.6455410821643284E-6</v>
      </c>
      <c r="R8" s="8">
        <f>Table11232[[#This Row],[M (KN.mm)]]/(Table11232[[#This Row],[b (mm)]]*Table11232[[#This Row],[h (mm)]]*Table11232[[#This Row],[L(mm)]]/2)</f>
        <v>3.6382499999999997E-4</v>
      </c>
      <c r="S8" s="8">
        <f>Table11232[[#This Row],[M (KN.mm)]]/(Table11232[[#This Row],[a (mm)]]*Table11232[[#This Row],[b (mm)]]*Table11232[[#This Row],[h (mm)]]*Table11232[[#This Row],[L(mm)]]/2)</f>
        <v>3.3653846153846149E-7</v>
      </c>
      <c r="T8" s="8">
        <f>G8/($AN$5*AK8*0.001*Table11232[[#This Row],[pho (%)]])</f>
        <v>5.8816474549203334E-7</v>
      </c>
      <c r="U8" s="8">
        <f>Table11232[[#This Row],[M (KN.mm)]]/(Table11232[[#This Row],[b (mm)]]*Table11232[[#This Row],[d (mm)]]*Table11232[[#This Row],[pho (%)]])</f>
        <v>0.23537117903930127</v>
      </c>
      <c r="V8" s="8">
        <f>E8*224.8/(2*SQRT(Table11232[[#This Row],[fc (Mpa)]]*145.037)*Table11232[[#This Row],[b (mm)]]*Table11232[[#This Row],[d (mm)]]*(1/25.4)^2)</f>
        <v>0.4249863681402013</v>
      </c>
      <c r="W8" s="8">
        <f>Table11232[[#This Row],[M (KN.mm)]]/$G$15</f>
        <v>0.14462809917355371</v>
      </c>
      <c r="X8" s="8">
        <f>E8*224.8/(2*SQRT(Table11232[[#This Row],[fc (Mpa)]]*145.037)*Table11232[[#This Row],[b (mm)]]*Table11232[[#This Row],[d (mm)]]*(1/25.4)^2+Table11232[[#This Row],[Av fy d/s (N)]]*0.2248)</f>
        <v>0.2024132485583055</v>
      </c>
      <c r="Y8" s="15">
        <v>1.29</v>
      </c>
      <c r="Z8" s="8">
        <f>Table11232[[#This Row],[Av fy/(b S) (Mpa)]]*Table11232[[#This Row],[d (mm)]]*Table11232[[#This Row],[b (mm)]]</f>
        <v>90558</v>
      </c>
      <c r="AA8" s="8">
        <f>Table11232[[#This Row],[d (mm)]]/260</f>
        <v>1.35</v>
      </c>
      <c r="AB8" s="8">
        <f>Table11232[[#This Row],[a/d]]*Table11232[[#This Row],[d]]</f>
        <v>1081.08</v>
      </c>
      <c r="AC8" s="8">
        <f>Table11232[[#This Row],[d]]</f>
        <v>351</v>
      </c>
      <c r="AD8" s="8">
        <v>400</v>
      </c>
      <c r="AE8" s="5">
        <v>200</v>
      </c>
      <c r="AF8" s="5">
        <v>49.9</v>
      </c>
      <c r="AG8" s="8">
        <f>Table11232[[#This Row],[pho (%)]]/100*Table11232[[#This Row],[b (mm)]]*Table11232[[#This Row],[d (mm)]]</f>
        <v>1607.58</v>
      </c>
      <c r="AH8" s="1">
        <v>2.29</v>
      </c>
      <c r="AI8" s="8">
        <v>500</v>
      </c>
      <c r="AJ8" s="8">
        <f>(1/3-0.21*(MIN(Table11232[[#This Row],[b (mm)]],AD8)/MAX(Table11232[[#This Row],[b (mm)]],AD8))*(MIN(Table11232[[#This Row],[b (mm)]],AD8)^4/(12*MAX(Table11232[[#This Row],[b (mm)]],AD8)^4)))*MAX(Table11232[[#This Row],[b (mm)]],AD8)*MIN(Table11232[[#This Row],[b (mm)]],AD8)^3</f>
        <v>1064916666.6666665</v>
      </c>
      <c r="AK8" s="8">
        <f>Table11232[[#This Row],[b (mm)]]*AD8^3/12</f>
        <v>1066666666.6666666</v>
      </c>
      <c r="AL8" s="8">
        <v>2600</v>
      </c>
      <c r="AM8" s="12"/>
      <c r="AN8" s="6"/>
    </row>
    <row r="9" spans="1:42" x14ac:dyDescent="0.25">
      <c r="A9" s="28" t="s">
        <v>136</v>
      </c>
      <c r="B9" s="15">
        <v>2</v>
      </c>
      <c r="C9" s="3">
        <v>8</v>
      </c>
      <c r="D9" s="15">
        <v>3.08</v>
      </c>
      <c r="E9" s="15">
        <v>42</v>
      </c>
      <c r="F9" s="15">
        <v>351</v>
      </c>
      <c r="G9" s="8">
        <f t="shared" si="4"/>
        <v>45405.36</v>
      </c>
      <c r="H9" s="8">
        <f t="shared" si="5"/>
        <v>1.6162767206121079E-6</v>
      </c>
      <c r="I9" s="8">
        <f>G9/(Table11232[[#This Row],[b (mm)]]*AC9^2)</f>
        <v>1.8427350427350428E-3</v>
      </c>
      <c r="J9" s="8">
        <f t="shared" si="6"/>
        <v>0.160937558317471</v>
      </c>
      <c r="K9" s="8">
        <f t="shared" si="7"/>
        <v>1.2560415849450459E-6</v>
      </c>
      <c r="L9" s="8">
        <f>E9/(Table11232[[#This Row],[b (mm)]]*AC9)</f>
        <v>5.9829059829059829E-4</v>
      </c>
      <c r="M9" s="8">
        <f>Table11232[[#This Row],[M (KN.mm)]]/(Table11232[[#This Row],[b (mm)]]*Table11232[[#This Row],[d (mm)]])</f>
        <v>0.64680000000000004</v>
      </c>
      <c r="N9" s="8">
        <f>Table11232[[#This Row],[M (KN.mm)]]/(Table11232[[#This Row],[b (mm)]]*Table11232[[#This Row],[h (mm)]])</f>
        <v>0.56756700000000004</v>
      </c>
      <c r="O9" s="8">
        <f>Table11232[[#This Row],[M (KN.mm)]]/(Table11232[[#This Row],[b (mm)]]*Table11232[[#This Row],[h (mm)]]*Table11232[[#This Row],[L(mm)]])</f>
        <v>2.18295E-4</v>
      </c>
      <c r="P9" s="8">
        <f>Table11232[[#This Row],[M (KN.mm)]]/(Table11232[[#This Row],[b (mm)]]*Table11232[[#This Row],[d (mm)]]*Table11232[[#This Row],[L(mm)]])</f>
        <v>2.4876923076923079E-4</v>
      </c>
      <c r="Q9" s="8">
        <f>Table11232[[#This Row],[M (KN.mm)]]/(Table11232[[#This Row],[b (mm)]]*Table11232[[#This Row],[h (mm)]]*Table11232[[#This Row],[L(mm)]]*Table11232[[#This Row],[fc (Mpa)]])</f>
        <v>4.3746492985971941E-6</v>
      </c>
      <c r="R9" s="8">
        <f>Table11232[[#This Row],[M (KN.mm)]]/(Table11232[[#This Row],[b (mm)]]*Table11232[[#This Row],[h (mm)]]*Table11232[[#This Row],[L(mm)]]/2)</f>
        <v>4.3658999999999999E-4</v>
      </c>
      <c r="S9" s="8">
        <f>Table11232[[#This Row],[M (KN.mm)]]/(Table11232[[#This Row],[a (mm)]]*Table11232[[#This Row],[b (mm)]]*Table11232[[#This Row],[h (mm)]]*Table11232[[#This Row],[L(mm)]]/2)</f>
        <v>4.0384615384615386E-7</v>
      </c>
      <c r="T9" s="8">
        <f>G9/($AN$5*AK9*0.001*Table11232[[#This Row],[pho (%)]])</f>
        <v>7.0579769459044007E-7</v>
      </c>
      <c r="U9" s="8">
        <f>Table11232[[#This Row],[M (KN.mm)]]/(Table11232[[#This Row],[b (mm)]]*Table11232[[#This Row],[d (mm)]]*Table11232[[#This Row],[pho (%)]])</f>
        <v>0.28244541484716157</v>
      </c>
      <c r="V9" s="8">
        <f>E9*224.8/(2*SQRT(Table11232[[#This Row],[fc (Mpa)]]*145.037)*Table11232[[#This Row],[b (mm)]]*Table11232[[#This Row],[d (mm)]]*(1/25.4)^2)</f>
        <v>0.50998364176824162</v>
      </c>
      <c r="W9" s="8">
        <f>Table11232[[#This Row],[M (KN.mm)]]/$G$15</f>
        <v>0.17355371900826447</v>
      </c>
      <c r="X9" s="8">
        <f>E9*224.8/(2*SQRT(Table11232[[#This Row],[fc (Mpa)]]*145.037)*Table11232[[#This Row],[b (mm)]]*Table11232[[#This Row],[d (mm)]]*(1/25.4)^2+Table11232[[#This Row],[Av fy d/s (N)]]*0.2248)</f>
        <v>0.2428958982699666</v>
      </c>
      <c r="Y9" s="15">
        <v>1.29</v>
      </c>
      <c r="Z9" s="8">
        <f>Table11232[[#This Row],[Av fy/(b S) (Mpa)]]*Table11232[[#This Row],[d (mm)]]*Table11232[[#This Row],[b (mm)]]</f>
        <v>90558</v>
      </c>
      <c r="AA9" s="8">
        <f>Table11232[[#This Row],[d (mm)]]/260</f>
        <v>1.35</v>
      </c>
      <c r="AB9" s="8">
        <f>Table11232[[#This Row],[a/d]]*Table11232[[#This Row],[d]]</f>
        <v>1081.08</v>
      </c>
      <c r="AC9" s="8">
        <f>Table11232[[#This Row],[d]]</f>
        <v>351</v>
      </c>
      <c r="AD9" s="8">
        <v>400</v>
      </c>
      <c r="AE9" s="5">
        <v>200</v>
      </c>
      <c r="AF9" s="5">
        <v>49.9</v>
      </c>
      <c r="AG9" s="8">
        <f>Table11232[[#This Row],[pho (%)]]/100*Table11232[[#This Row],[b (mm)]]*Table11232[[#This Row],[d (mm)]]</f>
        <v>1607.58</v>
      </c>
      <c r="AH9" s="1">
        <v>2.29</v>
      </c>
      <c r="AI9" s="8">
        <v>500</v>
      </c>
      <c r="AJ9" s="8">
        <f>(1/3-0.21*(MIN(Table11232[[#This Row],[b (mm)]],AD9)/MAX(Table11232[[#This Row],[b (mm)]],AD9))*(MIN(Table11232[[#This Row],[b (mm)]],AD9)^4/(12*MAX(Table11232[[#This Row],[b (mm)]],AD9)^4)))*MAX(Table11232[[#This Row],[b (mm)]],AD9)*MIN(Table11232[[#This Row],[b (mm)]],AD9)^3</f>
        <v>1064916666.6666665</v>
      </c>
      <c r="AK9" s="8">
        <f>Table11232[[#This Row],[b (mm)]]*AD9^3/12</f>
        <v>1066666666.6666666</v>
      </c>
      <c r="AL9" s="8">
        <v>2600</v>
      </c>
      <c r="AM9" s="12"/>
      <c r="AN9" s="6"/>
    </row>
    <row r="10" spans="1:42" x14ac:dyDescent="0.25">
      <c r="A10" s="28" t="s">
        <v>136</v>
      </c>
      <c r="B10" s="15">
        <v>3</v>
      </c>
      <c r="C10" s="3">
        <v>9</v>
      </c>
      <c r="D10" s="15">
        <v>3.08</v>
      </c>
      <c r="E10" s="15">
        <v>60</v>
      </c>
      <c r="F10" s="15">
        <v>351</v>
      </c>
      <c r="G10" s="8">
        <f t="shared" si="4"/>
        <v>64864.799999999996</v>
      </c>
      <c r="H10" s="8">
        <f t="shared" si="5"/>
        <v>2.3089667437315824E-6</v>
      </c>
      <c r="I10" s="8">
        <f>G10/(Table11232[[#This Row],[b (mm)]]*AC10^2)</f>
        <v>2.6324786324786321E-3</v>
      </c>
      <c r="J10" s="8">
        <f t="shared" si="6"/>
        <v>0.22991079759638711</v>
      </c>
      <c r="K10" s="8">
        <f t="shared" si="7"/>
        <v>1.7943451213500656E-6</v>
      </c>
      <c r="L10" s="8">
        <f>E10/(Table11232[[#This Row],[b (mm)]]*AC10)</f>
        <v>8.547008547008547E-4</v>
      </c>
      <c r="M10" s="8">
        <f>Table11232[[#This Row],[M (KN.mm)]]/(Table11232[[#This Row],[b (mm)]]*Table11232[[#This Row],[d (mm)]])</f>
        <v>0.92399999999999993</v>
      </c>
      <c r="N10" s="8">
        <f>Table11232[[#This Row],[M (KN.mm)]]/(Table11232[[#This Row],[b (mm)]]*Table11232[[#This Row],[h (mm)]])</f>
        <v>0.81080999999999992</v>
      </c>
      <c r="O10" s="8">
        <f>Table11232[[#This Row],[M (KN.mm)]]/(Table11232[[#This Row],[b (mm)]]*Table11232[[#This Row],[h (mm)]]*Table11232[[#This Row],[L(mm)]])</f>
        <v>3.1184999999999996E-4</v>
      </c>
      <c r="P10" s="8">
        <f>Table11232[[#This Row],[M (KN.mm)]]/(Table11232[[#This Row],[b (mm)]]*Table11232[[#This Row],[d (mm)]]*Table11232[[#This Row],[L(mm)]])</f>
        <v>3.5538461538461537E-4</v>
      </c>
      <c r="Q10" s="8">
        <f>Table11232[[#This Row],[M (KN.mm)]]/(Table11232[[#This Row],[b (mm)]]*Table11232[[#This Row],[h (mm)]]*Table11232[[#This Row],[L(mm)]]*Table11232[[#This Row],[fc (Mpa)]])</f>
        <v>6.2494989979959919E-6</v>
      </c>
      <c r="R10" s="8">
        <f>Table11232[[#This Row],[M (KN.mm)]]/(Table11232[[#This Row],[b (mm)]]*Table11232[[#This Row],[h (mm)]]*Table11232[[#This Row],[L(mm)]]/2)</f>
        <v>6.2369999999999993E-4</v>
      </c>
      <c r="S10" s="8">
        <f>Table11232[[#This Row],[M (KN.mm)]]/(Table11232[[#This Row],[a (mm)]]*Table11232[[#This Row],[b (mm)]]*Table11232[[#This Row],[h (mm)]]*Table11232[[#This Row],[L(mm)]]/2)</f>
        <v>5.7692307692307691E-7</v>
      </c>
      <c r="T10" s="8">
        <f>G10/($AN$5*AK10*0.001*Table11232[[#This Row],[pho (%)]])</f>
        <v>1.0082824208434857E-6</v>
      </c>
      <c r="U10" s="8">
        <f>Table11232[[#This Row],[M (KN.mm)]]/(Table11232[[#This Row],[b (mm)]]*Table11232[[#This Row],[d (mm)]]*Table11232[[#This Row],[pho (%)]])</f>
        <v>0.40349344978165935</v>
      </c>
      <c r="V10" s="8">
        <f>E10*224.8/(2*SQRT(Table11232[[#This Row],[fc (Mpa)]]*145.037)*Table11232[[#This Row],[b (mm)]]*Table11232[[#This Row],[d (mm)]]*(1/25.4)^2)</f>
        <v>0.72854805966891656</v>
      </c>
      <c r="W10" s="8">
        <f>Table11232[[#This Row],[M (KN.mm)]]/$G$15</f>
        <v>0.24793388429752067</v>
      </c>
      <c r="X10" s="8">
        <f>E10*224.8/(2*SQRT(Table11232[[#This Row],[fc (Mpa)]]*145.037)*Table11232[[#This Row],[b (mm)]]*Table11232[[#This Row],[d (mm)]]*(1/25.4)^2+Table11232[[#This Row],[Av fy d/s (N)]]*0.2248)</f>
        <v>0.34699414038566656</v>
      </c>
      <c r="Y10" s="15">
        <v>1.29</v>
      </c>
      <c r="Z10" s="8">
        <f>Table11232[[#This Row],[Av fy/(b S) (Mpa)]]*Table11232[[#This Row],[d (mm)]]*Table11232[[#This Row],[b (mm)]]</f>
        <v>90558</v>
      </c>
      <c r="AA10" s="8">
        <f>Table11232[[#This Row],[d (mm)]]/260</f>
        <v>1.35</v>
      </c>
      <c r="AB10" s="8">
        <f>Table11232[[#This Row],[a/d]]*Table11232[[#This Row],[d]]</f>
        <v>1081.08</v>
      </c>
      <c r="AC10" s="8">
        <f>Table11232[[#This Row],[d]]</f>
        <v>351</v>
      </c>
      <c r="AD10" s="8">
        <v>400</v>
      </c>
      <c r="AE10" s="5">
        <v>200</v>
      </c>
      <c r="AF10" s="5">
        <v>49.9</v>
      </c>
      <c r="AG10" s="8">
        <f>Table11232[[#This Row],[pho (%)]]/100*Table11232[[#This Row],[b (mm)]]*Table11232[[#This Row],[d (mm)]]</f>
        <v>1607.58</v>
      </c>
      <c r="AH10" s="1">
        <v>2.29</v>
      </c>
      <c r="AI10" s="8">
        <v>500</v>
      </c>
      <c r="AJ10" s="8">
        <f>(1/3-0.21*(MIN(Table11232[[#This Row],[b (mm)]],AD10)/MAX(Table11232[[#This Row],[b (mm)]],AD10))*(MIN(Table11232[[#This Row],[b (mm)]],AD10)^4/(12*MAX(Table11232[[#This Row],[b (mm)]],AD10)^4)))*MAX(Table11232[[#This Row],[b (mm)]],AD10)*MIN(Table11232[[#This Row],[b (mm)]],AD10)^3</f>
        <v>1064916666.6666665</v>
      </c>
      <c r="AK10" s="8">
        <f>Table11232[[#This Row],[b (mm)]]*AD10^3/12</f>
        <v>1066666666.6666666</v>
      </c>
      <c r="AL10" s="8">
        <v>2600</v>
      </c>
      <c r="AM10" s="12"/>
      <c r="AN10" s="6"/>
    </row>
    <row r="11" spans="1:42" x14ac:dyDescent="0.25">
      <c r="A11" s="28" t="s">
        <v>136</v>
      </c>
      <c r="B11" s="15">
        <v>4</v>
      </c>
      <c r="C11" s="3">
        <v>10</v>
      </c>
      <c r="D11" s="15">
        <v>3.08</v>
      </c>
      <c r="E11" s="15">
        <v>85</v>
      </c>
      <c r="F11" s="15">
        <v>351</v>
      </c>
      <c r="G11" s="8">
        <f t="shared" si="4"/>
        <v>91891.799999999988</v>
      </c>
      <c r="H11" s="8">
        <f t="shared" si="5"/>
        <v>3.2710362202864083E-6</v>
      </c>
      <c r="I11" s="8">
        <f>G11/(Table11232[[#This Row],[b (mm)]]*AC11^2)</f>
        <v>3.729344729344729E-3</v>
      </c>
      <c r="J11" s="8">
        <f t="shared" si="6"/>
        <v>0.32570696326154841</v>
      </c>
      <c r="K11" s="8">
        <f t="shared" si="7"/>
        <v>2.5419889219125928E-6</v>
      </c>
      <c r="L11" s="8">
        <f>E11/(Table11232[[#This Row],[b (mm)]]*AC11)</f>
        <v>1.2108262108262108E-3</v>
      </c>
      <c r="M11" s="8">
        <f>Table11232[[#This Row],[M (KN.mm)]]/(Table11232[[#This Row],[b (mm)]]*Table11232[[#This Row],[d (mm)]])</f>
        <v>1.3089999999999999</v>
      </c>
      <c r="N11" s="8">
        <f>Table11232[[#This Row],[M (KN.mm)]]/(Table11232[[#This Row],[b (mm)]]*Table11232[[#This Row],[h (mm)]])</f>
        <v>1.1486474999999998</v>
      </c>
      <c r="O11" s="8">
        <f>Table11232[[#This Row],[M (KN.mm)]]/(Table11232[[#This Row],[b (mm)]]*Table11232[[#This Row],[h (mm)]]*Table11232[[#This Row],[L(mm)]])</f>
        <v>4.4178749999999997E-4</v>
      </c>
      <c r="P11" s="8">
        <f>Table11232[[#This Row],[M (KN.mm)]]/(Table11232[[#This Row],[b (mm)]]*Table11232[[#This Row],[d (mm)]]*Table11232[[#This Row],[L(mm)]])</f>
        <v>5.0346153846153835E-4</v>
      </c>
      <c r="Q11" s="8">
        <f>Table11232[[#This Row],[M (KN.mm)]]/(Table11232[[#This Row],[b (mm)]]*Table11232[[#This Row],[h (mm)]]*Table11232[[#This Row],[L(mm)]]*Table11232[[#This Row],[fc (Mpa)]])</f>
        <v>8.8534569138276536E-6</v>
      </c>
      <c r="R11" s="8">
        <f>Table11232[[#This Row],[M (KN.mm)]]/(Table11232[[#This Row],[b (mm)]]*Table11232[[#This Row],[h (mm)]]*Table11232[[#This Row],[L(mm)]]/2)</f>
        <v>8.8357499999999994E-4</v>
      </c>
      <c r="S11" s="8">
        <f>Table11232[[#This Row],[M (KN.mm)]]/(Table11232[[#This Row],[a (mm)]]*Table11232[[#This Row],[b (mm)]]*Table11232[[#This Row],[h (mm)]]*Table11232[[#This Row],[L(mm)]]/2)</f>
        <v>8.1730769230769218E-7</v>
      </c>
      <c r="T11" s="8">
        <f>G11/($AN$5*AK11*0.001*Table11232[[#This Row],[pho (%)]])</f>
        <v>1.4284000961949382E-6</v>
      </c>
      <c r="U11" s="8">
        <f>Table11232[[#This Row],[M (KN.mm)]]/(Table11232[[#This Row],[b (mm)]]*Table11232[[#This Row],[d (mm)]]*Table11232[[#This Row],[pho (%)]])</f>
        <v>0.57161572052401743</v>
      </c>
      <c r="V11" s="8">
        <f>E11*224.8/(2*SQRT(Table11232[[#This Row],[fc (Mpa)]]*145.037)*Table11232[[#This Row],[b (mm)]]*Table11232[[#This Row],[d (mm)]]*(1/25.4)^2)</f>
        <v>1.0321097511976318</v>
      </c>
      <c r="W11" s="8">
        <f>Table11232[[#This Row],[M (KN.mm)]]/$G$15</f>
        <v>0.3512396694214876</v>
      </c>
      <c r="X11" s="8">
        <f>E11*224.8/(2*SQRT(Table11232[[#This Row],[fc (Mpa)]]*145.037)*Table11232[[#This Row],[b (mm)]]*Table11232[[#This Row],[d (mm)]]*(1/25.4)^2+Table11232[[#This Row],[Av fy d/s (N)]]*0.2248)</f>
        <v>0.49157503221302762</v>
      </c>
      <c r="Y11" s="15">
        <v>1.29</v>
      </c>
      <c r="Z11" s="8">
        <f>Table11232[[#This Row],[Av fy/(b S) (Mpa)]]*Table11232[[#This Row],[d (mm)]]*Table11232[[#This Row],[b (mm)]]</f>
        <v>90558</v>
      </c>
      <c r="AA11" s="8">
        <f>Table11232[[#This Row],[d (mm)]]/260</f>
        <v>1.35</v>
      </c>
      <c r="AB11" s="8">
        <f>Table11232[[#This Row],[a/d]]*Table11232[[#This Row],[d]]</f>
        <v>1081.08</v>
      </c>
      <c r="AC11" s="8">
        <f>Table11232[[#This Row],[d]]</f>
        <v>351</v>
      </c>
      <c r="AD11" s="8">
        <v>400</v>
      </c>
      <c r="AE11" s="5">
        <v>200</v>
      </c>
      <c r="AF11" s="5">
        <v>49.9</v>
      </c>
      <c r="AG11" s="8">
        <f>Table11232[[#This Row],[pho (%)]]/100*Table11232[[#This Row],[b (mm)]]*Table11232[[#This Row],[d (mm)]]</f>
        <v>1607.58</v>
      </c>
      <c r="AH11" s="1">
        <v>2.29</v>
      </c>
      <c r="AI11" s="8">
        <v>500</v>
      </c>
      <c r="AJ11" s="8">
        <f>(1/3-0.21*(MIN(Table11232[[#This Row],[b (mm)]],AD11)/MAX(Table11232[[#This Row],[b (mm)]],AD11))*(MIN(Table11232[[#This Row],[b (mm)]],AD11)^4/(12*MAX(Table11232[[#This Row],[b (mm)]],AD11)^4)))*MAX(Table11232[[#This Row],[b (mm)]],AD11)*MIN(Table11232[[#This Row],[b (mm)]],AD11)^3</f>
        <v>1064916666.6666665</v>
      </c>
      <c r="AK11" s="8">
        <f>Table11232[[#This Row],[b (mm)]]*AD11^3/12</f>
        <v>1066666666.6666666</v>
      </c>
      <c r="AL11" s="8">
        <v>2600</v>
      </c>
      <c r="AM11" s="12"/>
      <c r="AN11" s="6"/>
    </row>
    <row r="12" spans="1:42" x14ac:dyDescent="0.25">
      <c r="A12" s="28" t="s">
        <v>136</v>
      </c>
      <c r="B12" s="15">
        <v>5</v>
      </c>
      <c r="C12" s="3">
        <v>11</v>
      </c>
      <c r="D12" s="15">
        <v>3.08</v>
      </c>
      <c r="E12" s="15">
        <v>110</v>
      </c>
      <c r="F12" s="15">
        <v>351</v>
      </c>
      <c r="G12" s="8">
        <f t="shared" si="4"/>
        <v>118918.79999999999</v>
      </c>
      <c r="H12" s="8">
        <f t="shared" si="5"/>
        <v>4.2331056968412338E-6</v>
      </c>
      <c r="I12" s="8">
        <f>G12/(Table11232[[#This Row],[b (mm)]]*AC12^2)</f>
        <v>4.8262108262108255E-3</v>
      </c>
      <c r="J12" s="8">
        <f t="shared" si="6"/>
        <v>0.42150312892670971</v>
      </c>
      <c r="K12" s="8">
        <f t="shared" si="7"/>
        <v>3.28963272247512E-6</v>
      </c>
      <c r="L12" s="8">
        <f>E12/(Table11232[[#This Row],[b (mm)]]*AC12)</f>
        <v>1.5669515669515669E-3</v>
      </c>
      <c r="M12" s="8">
        <f>Table11232[[#This Row],[M (KN.mm)]]/(Table11232[[#This Row],[b (mm)]]*Table11232[[#This Row],[d (mm)]])</f>
        <v>1.6939999999999997</v>
      </c>
      <c r="N12" s="8">
        <f>Table11232[[#This Row],[M (KN.mm)]]/(Table11232[[#This Row],[b (mm)]]*Table11232[[#This Row],[h (mm)]])</f>
        <v>1.4864849999999998</v>
      </c>
      <c r="O12" s="8">
        <f>Table11232[[#This Row],[M (KN.mm)]]/(Table11232[[#This Row],[b (mm)]]*Table11232[[#This Row],[h (mm)]]*Table11232[[#This Row],[L(mm)]])</f>
        <v>5.7172499999999992E-4</v>
      </c>
      <c r="P12" s="8">
        <f>Table11232[[#This Row],[M (KN.mm)]]/(Table11232[[#This Row],[b (mm)]]*Table11232[[#This Row],[d (mm)]]*Table11232[[#This Row],[L(mm)]])</f>
        <v>6.5153846153846143E-4</v>
      </c>
      <c r="Q12" s="8">
        <f>Table11232[[#This Row],[M (KN.mm)]]/(Table11232[[#This Row],[b (mm)]]*Table11232[[#This Row],[h (mm)]]*Table11232[[#This Row],[L(mm)]]*Table11232[[#This Row],[fc (Mpa)]])</f>
        <v>1.1457414829659317E-5</v>
      </c>
      <c r="R12" s="8">
        <f>Table11232[[#This Row],[M (KN.mm)]]/(Table11232[[#This Row],[b (mm)]]*Table11232[[#This Row],[h (mm)]]*Table11232[[#This Row],[L(mm)]]/2)</f>
        <v>1.1434499999999998E-3</v>
      </c>
      <c r="S12" s="8">
        <f>Table11232[[#This Row],[M (KN.mm)]]/(Table11232[[#This Row],[a (mm)]]*Table11232[[#This Row],[b (mm)]]*Table11232[[#This Row],[h (mm)]]*Table11232[[#This Row],[L(mm)]]/2)</f>
        <v>1.0576923076923076E-6</v>
      </c>
      <c r="T12" s="8">
        <f>G12/($AN$5*AK12*0.001*Table11232[[#This Row],[pho (%)]])</f>
        <v>1.8485177715463906E-6</v>
      </c>
      <c r="U12" s="8">
        <f>Table11232[[#This Row],[M (KN.mm)]]/(Table11232[[#This Row],[b (mm)]]*Table11232[[#This Row],[d (mm)]]*Table11232[[#This Row],[pho (%)]])</f>
        <v>0.73973799126637552</v>
      </c>
      <c r="V12" s="8">
        <f>E12*224.8/(2*SQRT(Table11232[[#This Row],[fc (Mpa)]]*145.037)*Table11232[[#This Row],[b (mm)]]*Table11232[[#This Row],[d (mm)]]*(1/25.4)^2)</f>
        <v>1.335671442726347</v>
      </c>
      <c r="W12" s="8">
        <f>Table11232[[#This Row],[M (KN.mm)]]/$G$15</f>
        <v>0.45454545454545453</v>
      </c>
      <c r="X12" s="8">
        <f>E12*224.8/(2*SQRT(Table11232[[#This Row],[fc (Mpa)]]*145.037)*Table11232[[#This Row],[b (mm)]]*Table11232[[#This Row],[d (mm)]]*(1/25.4)^2+Table11232[[#This Row],[Av fy d/s (N)]]*0.2248)</f>
        <v>0.63615592404038868</v>
      </c>
      <c r="Y12" s="15">
        <v>1.29</v>
      </c>
      <c r="Z12" s="8">
        <f>Table11232[[#This Row],[Av fy/(b S) (Mpa)]]*Table11232[[#This Row],[d (mm)]]*Table11232[[#This Row],[b (mm)]]</f>
        <v>90558</v>
      </c>
      <c r="AA12" s="8">
        <f>Table11232[[#This Row],[d (mm)]]/260</f>
        <v>1.35</v>
      </c>
      <c r="AB12" s="8">
        <f>Table11232[[#This Row],[a/d]]*Table11232[[#This Row],[d]]</f>
        <v>1081.08</v>
      </c>
      <c r="AC12" s="8">
        <f>Table11232[[#This Row],[d]]</f>
        <v>351</v>
      </c>
      <c r="AD12" s="8">
        <v>400</v>
      </c>
      <c r="AE12" s="5">
        <v>200</v>
      </c>
      <c r="AF12" s="5">
        <v>49.9</v>
      </c>
      <c r="AG12" s="8">
        <f>Table11232[[#This Row],[pho (%)]]/100*Table11232[[#This Row],[b (mm)]]*Table11232[[#This Row],[d (mm)]]</f>
        <v>1607.58</v>
      </c>
      <c r="AH12" s="1">
        <v>2.29</v>
      </c>
      <c r="AI12" s="8">
        <v>500</v>
      </c>
      <c r="AJ12" s="8">
        <f>(1/3-0.21*(MIN(Table11232[[#This Row],[b (mm)]],AD12)/MAX(Table11232[[#This Row],[b (mm)]],AD12))*(MIN(Table11232[[#This Row],[b (mm)]],AD12)^4/(12*MAX(Table11232[[#This Row],[b (mm)]],AD12)^4)))*MAX(Table11232[[#This Row],[b (mm)]],AD12)*MIN(Table11232[[#This Row],[b (mm)]],AD12)^3</f>
        <v>1064916666.6666665</v>
      </c>
      <c r="AK12" s="8">
        <f>Table11232[[#This Row],[b (mm)]]*AD12^3/12</f>
        <v>1066666666.6666666</v>
      </c>
      <c r="AL12" s="8">
        <v>2600</v>
      </c>
      <c r="AM12" s="12"/>
      <c r="AN12" s="6"/>
    </row>
    <row r="13" spans="1:42" x14ac:dyDescent="0.25">
      <c r="A13" s="28" t="s">
        <v>136</v>
      </c>
      <c r="B13" s="15">
        <v>6</v>
      </c>
      <c r="C13" s="3">
        <v>12</v>
      </c>
      <c r="D13" s="15">
        <v>3.08</v>
      </c>
      <c r="E13" s="15">
        <v>130</v>
      </c>
      <c r="F13" s="15">
        <v>351</v>
      </c>
      <c r="G13" s="8">
        <f t="shared" si="4"/>
        <v>140540.4</v>
      </c>
      <c r="H13" s="8">
        <f t="shared" si="5"/>
        <v>5.0027612780850956E-6</v>
      </c>
      <c r="I13" s="8">
        <f>G13/(Table11232[[#This Row],[b (mm)]]*AC13^2)</f>
        <v>5.7037037037037039E-3</v>
      </c>
      <c r="J13" s="8">
        <f t="shared" si="6"/>
        <v>0.49814006145883877</v>
      </c>
      <c r="K13" s="8">
        <f t="shared" si="7"/>
        <v>3.8877477629251424E-6</v>
      </c>
      <c r="L13" s="8">
        <f>E13/(Table11232[[#This Row],[b (mm)]]*AC13)</f>
        <v>1.8518518518518519E-3</v>
      </c>
      <c r="M13" s="8">
        <f>Table11232[[#This Row],[M (KN.mm)]]/(Table11232[[#This Row],[b (mm)]]*Table11232[[#This Row],[d (mm)]])</f>
        <v>2.0019999999999998</v>
      </c>
      <c r="N13" s="8">
        <f>Table11232[[#This Row],[M (KN.mm)]]/(Table11232[[#This Row],[b (mm)]]*Table11232[[#This Row],[h (mm)]])</f>
        <v>1.7567549999999998</v>
      </c>
      <c r="O13" s="8">
        <f>Table11232[[#This Row],[M (KN.mm)]]/(Table11232[[#This Row],[b (mm)]]*Table11232[[#This Row],[h (mm)]]*Table11232[[#This Row],[L(mm)]])</f>
        <v>6.7567499999999993E-4</v>
      </c>
      <c r="P13" s="8">
        <f>Table11232[[#This Row],[M (KN.mm)]]/(Table11232[[#This Row],[b (mm)]]*Table11232[[#This Row],[d (mm)]]*Table11232[[#This Row],[L(mm)]])</f>
        <v>7.6999999999999996E-4</v>
      </c>
      <c r="Q13" s="8">
        <f>Table11232[[#This Row],[M (KN.mm)]]/(Table11232[[#This Row],[b (mm)]]*Table11232[[#This Row],[h (mm)]]*Table11232[[#This Row],[L(mm)]]*Table11232[[#This Row],[fc (Mpa)]])</f>
        <v>1.3540581162324649E-5</v>
      </c>
      <c r="R13" s="8">
        <f>Table11232[[#This Row],[M (KN.mm)]]/(Table11232[[#This Row],[b (mm)]]*Table11232[[#This Row],[h (mm)]]*Table11232[[#This Row],[L(mm)]]/2)</f>
        <v>1.3513499999999999E-3</v>
      </c>
      <c r="S13" s="8">
        <f>Table11232[[#This Row],[M (KN.mm)]]/(Table11232[[#This Row],[a (mm)]]*Table11232[[#This Row],[b (mm)]]*Table11232[[#This Row],[h (mm)]]*Table11232[[#This Row],[L(mm)]]/2)</f>
        <v>1.2499999999999999E-6</v>
      </c>
      <c r="T13" s="8">
        <f>G13/($AN$5*AK13*0.001*Table11232[[#This Row],[pho (%)]])</f>
        <v>2.1846119118275524E-6</v>
      </c>
      <c r="U13" s="8">
        <f>Table11232[[#This Row],[M (KN.mm)]]/(Table11232[[#This Row],[b (mm)]]*Table11232[[#This Row],[d (mm)]]*Table11232[[#This Row],[pho (%)]])</f>
        <v>0.874235807860262</v>
      </c>
      <c r="V13" s="8">
        <f>E13*224.8/(2*SQRT(Table11232[[#This Row],[fc (Mpa)]]*145.037)*Table11232[[#This Row],[b (mm)]]*Table11232[[#This Row],[d (mm)]]*(1/25.4)^2)</f>
        <v>1.578520795949319</v>
      </c>
      <c r="W13" s="8">
        <f>Table11232[[#This Row],[M (KN.mm)]]/$G$15</f>
        <v>0.53719008264462809</v>
      </c>
      <c r="X13" s="8">
        <f>E13*224.8/(2*SQRT(Table11232[[#This Row],[fc (Mpa)]]*145.037)*Table11232[[#This Row],[b (mm)]]*Table11232[[#This Row],[d (mm)]]*(1/25.4)^2+Table11232[[#This Row],[Av fy d/s (N)]]*0.2248)</f>
        <v>0.75182063750227757</v>
      </c>
      <c r="Y13" s="15">
        <v>1.29</v>
      </c>
      <c r="Z13" s="8">
        <f>Table11232[[#This Row],[Av fy/(b S) (Mpa)]]*Table11232[[#This Row],[d (mm)]]*Table11232[[#This Row],[b (mm)]]</f>
        <v>90558</v>
      </c>
      <c r="AA13" s="8">
        <f>Table11232[[#This Row],[d (mm)]]/260</f>
        <v>1.35</v>
      </c>
      <c r="AB13" s="8">
        <f>Table11232[[#This Row],[a/d]]*Table11232[[#This Row],[d]]</f>
        <v>1081.08</v>
      </c>
      <c r="AC13" s="8">
        <f>Table11232[[#This Row],[d]]</f>
        <v>351</v>
      </c>
      <c r="AD13" s="8">
        <v>400</v>
      </c>
      <c r="AE13" s="5">
        <v>200</v>
      </c>
      <c r="AF13" s="5">
        <v>49.9</v>
      </c>
      <c r="AG13" s="8">
        <f>Table11232[[#This Row],[pho (%)]]/100*Table11232[[#This Row],[b (mm)]]*Table11232[[#This Row],[d (mm)]]</f>
        <v>1607.58</v>
      </c>
      <c r="AH13" s="1">
        <v>2.29</v>
      </c>
      <c r="AI13" s="8">
        <v>500</v>
      </c>
      <c r="AJ13" s="8">
        <f>(1/3-0.21*(MIN(Table11232[[#This Row],[b (mm)]],AD13)/MAX(Table11232[[#This Row],[b (mm)]],AD13))*(MIN(Table11232[[#This Row],[b (mm)]],AD13)^4/(12*MAX(Table11232[[#This Row],[b (mm)]],AD13)^4)))*MAX(Table11232[[#This Row],[b (mm)]],AD13)*MIN(Table11232[[#This Row],[b (mm)]],AD13)^3</f>
        <v>1064916666.6666665</v>
      </c>
      <c r="AK13" s="8">
        <f>Table11232[[#This Row],[b (mm)]]*AD13^3/12</f>
        <v>1066666666.6666666</v>
      </c>
      <c r="AL13" s="8">
        <v>2600</v>
      </c>
      <c r="AM13" s="12"/>
      <c r="AN13" s="6"/>
    </row>
    <row r="14" spans="1:42" x14ac:dyDescent="0.25">
      <c r="A14" s="28" t="s">
        <v>136</v>
      </c>
      <c r="B14" s="15">
        <v>1</v>
      </c>
      <c r="C14" s="3">
        <v>13</v>
      </c>
      <c r="D14" s="15">
        <v>3.08</v>
      </c>
      <c r="E14" s="15">
        <v>150</v>
      </c>
      <c r="F14" s="15">
        <v>351</v>
      </c>
      <c r="G14" s="8">
        <f t="shared" si="4"/>
        <v>162162</v>
      </c>
      <c r="H14" s="8">
        <f t="shared" si="5"/>
        <v>5.7724168593289565E-6</v>
      </c>
      <c r="I14" s="8">
        <f>G14/(Table11232[[#This Row],[b (mm)]]*AC14^2)</f>
        <v>6.5811965811965814E-3</v>
      </c>
      <c r="J14" s="8">
        <f t="shared" si="6"/>
        <v>0.57477699399096782</v>
      </c>
      <c r="K14" s="8">
        <f t="shared" si="7"/>
        <v>4.485862803375164E-6</v>
      </c>
      <c r="L14" s="8">
        <f>E14/(Table11232[[#This Row],[b (mm)]]*AC14)</f>
        <v>2.136752136752137E-3</v>
      </c>
      <c r="M14" s="8">
        <f>Table11232[[#This Row],[M (KN.mm)]]/(Table11232[[#This Row],[b (mm)]]*Table11232[[#This Row],[d (mm)]])</f>
        <v>2.31</v>
      </c>
      <c r="N14" s="8">
        <f>Table11232[[#This Row],[M (KN.mm)]]/(Table11232[[#This Row],[b (mm)]]*Table11232[[#This Row],[h (mm)]])</f>
        <v>2.0270250000000001</v>
      </c>
      <c r="O14" s="8">
        <f>Table11232[[#This Row],[M (KN.mm)]]/(Table11232[[#This Row],[b (mm)]]*Table11232[[#This Row],[h (mm)]]*Table11232[[#This Row],[L(mm)]])</f>
        <v>7.7962500000000004E-4</v>
      </c>
      <c r="P14" s="8">
        <f>Table11232[[#This Row],[M (KN.mm)]]/(Table11232[[#This Row],[b (mm)]]*Table11232[[#This Row],[d (mm)]]*Table11232[[#This Row],[L(mm)]])</f>
        <v>8.8846153846153849E-4</v>
      </c>
      <c r="Q14" s="8">
        <f>Table11232[[#This Row],[M (KN.mm)]]/(Table11232[[#This Row],[b (mm)]]*Table11232[[#This Row],[h (mm)]]*Table11232[[#This Row],[L(mm)]]*Table11232[[#This Row],[fc (Mpa)]])</f>
        <v>1.562374749498998E-5</v>
      </c>
      <c r="R14" s="8">
        <f>Table11232[[#This Row],[M (KN.mm)]]/(Table11232[[#This Row],[b (mm)]]*Table11232[[#This Row],[h (mm)]]*Table11232[[#This Row],[L(mm)]]/2)</f>
        <v>1.5592500000000001E-3</v>
      </c>
      <c r="S14" s="8">
        <f>Table11232[[#This Row],[M (KN.mm)]]/(Table11232[[#This Row],[a (mm)]]*Table11232[[#This Row],[b (mm)]]*Table11232[[#This Row],[h (mm)]]*Table11232[[#This Row],[L(mm)]]/2)</f>
        <v>1.4423076923076922E-6</v>
      </c>
      <c r="T14" s="8">
        <f>G14/($AN$5*AK14*0.001*Table11232[[#This Row],[pho (%)]])</f>
        <v>2.5207060521087148E-6</v>
      </c>
      <c r="U14" s="8">
        <f>Table11232[[#This Row],[M (KN.mm)]]/(Table11232[[#This Row],[b (mm)]]*Table11232[[#This Row],[d (mm)]]*Table11232[[#This Row],[pho (%)]])</f>
        <v>1.0087336244541485</v>
      </c>
      <c r="V14" s="8">
        <f>E14*224.8/(2*SQRT(Table11232[[#This Row],[fc (Mpa)]]*145.037)*Table11232[[#This Row],[b (mm)]]*Table11232[[#This Row],[d (mm)]]*(1/25.4)^2)</f>
        <v>1.8213701491722913</v>
      </c>
      <c r="W14" s="8">
        <f>Table11232[[#This Row],[M (KN.mm)]]/$G$15</f>
        <v>0.6198347107438017</v>
      </c>
      <c r="X14" s="8">
        <f>E14*224.8/(2*SQRT(Table11232[[#This Row],[fc (Mpa)]]*145.037)*Table11232[[#This Row],[b (mm)]]*Table11232[[#This Row],[d (mm)]]*(1/25.4)^2+Table11232[[#This Row],[Av fy d/s (N)]]*0.2248)</f>
        <v>0.86748535096416635</v>
      </c>
      <c r="Y14" s="15">
        <v>1.29</v>
      </c>
      <c r="Z14" s="8">
        <f>Table11232[[#This Row],[Av fy/(b S) (Mpa)]]*Table11232[[#This Row],[d (mm)]]*Table11232[[#This Row],[b (mm)]]</f>
        <v>90558</v>
      </c>
      <c r="AA14" s="8">
        <f>Table11232[[#This Row],[d (mm)]]/260</f>
        <v>1.35</v>
      </c>
      <c r="AB14" s="8">
        <f>Table11232[[#This Row],[a/d]]*Table11232[[#This Row],[d]]</f>
        <v>1081.08</v>
      </c>
      <c r="AC14" s="8">
        <f>Table11232[[#This Row],[d]]</f>
        <v>351</v>
      </c>
      <c r="AD14" s="8">
        <v>400</v>
      </c>
      <c r="AE14" s="5">
        <v>200</v>
      </c>
      <c r="AF14" s="5">
        <v>49.9</v>
      </c>
      <c r="AG14" s="8">
        <f>Table11232[[#This Row],[pho (%)]]/100*Table11232[[#This Row],[b (mm)]]*Table11232[[#This Row],[d (mm)]]</f>
        <v>1607.58</v>
      </c>
      <c r="AH14" s="1">
        <v>2.29</v>
      </c>
      <c r="AI14" s="8">
        <v>500</v>
      </c>
      <c r="AJ14" s="8">
        <f>(1/3-0.21*(MIN(Table11232[[#This Row],[b (mm)]],AD14)/MAX(Table11232[[#This Row],[b (mm)]],AD14))*(MIN(Table11232[[#This Row],[b (mm)]],AD14)^4/(12*MAX(Table11232[[#This Row],[b (mm)]],AD14)^4)))*MAX(Table11232[[#This Row],[b (mm)]],AD14)*MIN(Table11232[[#This Row],[b (mm)]],AD14)^3</f>
        <v>1064916666.6666665</v>
      </c>
      <c r="AK14" s="8">
        <f>Table11232[[#This Row],[b (mm)]]*AD14^3/12</f>
        <v>1066666666.6666666</v>
      </c>
      <c r="AL14" s="8">
        <v>2600</v>
      </c>
      <c r="AM14" s="12"/>
      <c r="AN14" s="6"/>
    </row>
    <row r="15" spans="1:42" x14ac:dyDescent="0.25">
      <c r="A15" s="28" t="s">
        <v>136</v>
      </c>
      <c r="B15" s="15">
        <v>2</v>
      </c>
      <c r="C15" s="3">
        <v>14</v>
      </c>
      <c r="D15" s="15">
        <v>3.08</v>
      </c>
      <c r="E15" s="15">
        <v>242</v>
      </c>
      <c r="F15" s="15">
        <v>351</v>
      </c>
      <c r="G15" s="8">
        <f t="shared" si="4"/>
        <v>261621.36</v>
      </c>
      <c r="H15" s="8">
        <f t="shared" si="5"/>
        <v>9.3128325330507163E-6</v>
      </c>
      <c r="I15" s="8">
        <f>G15/(Table11232[[#This Row],[b (mm)]]*AC15^2)</f>
        <v>1.0617663817663816E-2</v>
      </c>
      <c r="J15" s="8">
        <f t="shared" si="6"/>
        <v>0.92730688363876135</v>
      </c>
      <c r="K15" s="8">
        <f t="shared" si="7"/>
        <v>7.2371919894452645E-6</v>
      </c>
      <c r="L15" s="8">
        <f>E15/(Table11232[[#This Row],[b (mm)]]*AC15)</f>
        <v>3.4472934472934472E-3</v>
      </c>
      <c r="M15" s="8">
        <f>Table11232[[#This Row],[M (KN.mm)]]/(Table11232[[#This Row],[b (mm)]]*Table11232[[#This Row],[d (mm)]])</f>
        <v>3.7267999999999999</v>
      </c>
      <c r="N15" s="8">
        <f>Table11232[[#This Row],[M (KN.mm)]]/(Table11232[[#This Row],[b (mm)]]*Table11232[[#This Row],[h (mm)]])</f>
        <v>3.270267</v>
      </c>
      <c r="O15" s="8">
        <f>Table11232[[#This Row],[M (KN.mm)]]/(Table11232[[#This Row],[b (mm)]]*Table11232[[#This Row],[h (mm)]]*Table11232[[#This Row],[L(mm)]])</f>
        <v>1.2577949999999999E-3</v>
      </c>
      <c r="P15" s="8">
        <f>Table11232[[#This Row],[M (KN.mm)]]/(Table11232[[#This Row],[b (mm)]]*Table11232[[#This Row],[d (mm)]]*Table11232[[#This Row],[L(mm)]])</f>
        <v>1.4333846153846152E-3</v>
      </c>
      <c r="Q15" s="8">
        <f>Table11232[[#This Row],[M (KN.mm)]]/(Table11232[[#This Row],[b (mm)]]*Table11232[[#This Row],[h (mm)]]*Table11232[[#This Row],[L(mm)]]*Table11232[[#This Row],[fc (Mpa)]])</f>
        <v>2.5206312625250498E-5</v>
      </c>
      <c r="R15" s="8">
        <f>Table11232[[#This Row],[M (KN.mm)]]/(Table11232[[#This Row],[b (mm)]]*Table11232[[#This Row],[h (mm)]]*Table11232[[#This Row],[L(mm)]]/2)</f>
        <v>2.5155899999999998E-3</v>
      </c>
      <c r="S15" s="8">
        <f>Table11232[[#This Row],[M (KN.mm)]]/(Table11232[[#This Row],[a (mm)]]*Table11232[[#This Row],[b (mm)]]*Table11232[[#This Row],[h (mm)]]*Table11232[[#This Row],[L(mm)]]/2)</f>
        <v>2.326923076923077E-6</v>
      </c>
      <c r="T15" s="8">
        <f>G15/($AN$5*AK15*0.001*Table11232[[#This Row],[pho (%)]])</f>
        <v>4.0667390974020597E-6</v>
      </c>
      <c r="U15" s="8">
        <f>Table11232[[#This Row],[M (KN.mm)]]/(Table11232[[#This Row],[b (mm)]]*Table11232[[#This Row],[d (mm)]]*Table11232[[#This Row],[pho (%)]])</f>
        <v>1.6274235807860262</v>
      </c>
      <c r="V15" s="8">
        <f>E15*224.8/(2*SQRT(Table11232[[#This Row],[fc (Mpa)]]*145.037)*Table11232[[#This Row],[b (mm)]]*Table11232[[#This Row],[d (mm)]]*(1/25.4)^2)</f>
        <v>2.9384771739979638</v>
      </c>
      <c r="W15" s="8">
        <f>Table11232[[#This Row],[M (KN.mm)]]/$G$15</f>
        <v>1</v>
      </c>
      <c r="X15" s="8">
        <f>E15*224.8/(2*SQRT(Table11232[[#This Row],[fc (Mpa)]]*145.037)*Table11232[[#This Row],[b (mm)]]*Table11232[[#This Row],[d (mm)]]*(1/25.4)^2+Table11232[[#This Row],[Av fy d/s (N)]]*0.2248)</f>
        <v>1.3995430328888552</v>
      </c>
      <c r="Y15" s="15">
        <v>1.29</v>
      </c>
      <c r="Z15" s="8">
        <f>Table11232[[#This Row],[Av fy/(b S) (Mpa)]]*Table11232[[#This Row],[d (mm)]]*Table11232[[#This Row],[b (mm)]]</f>
        <v>90558</v>
      </c>
      <c r="AA15" s="8">
        <f>Table11232[[#This Row],[d (mm)]]/260</f>
        <v>1.35</v>
      </c>
      <c r="AB15" s="8">
        <f>Table11232[[#This Row],[a/d]]*Table11232[[#This Row],[d]]</f>
        <v>1081.08</v>
      </c>
      <c r="AC15" s="8">
        <f>Table11232[[#This Row],[d]]</f>
        <v>351</v>
      </c>
      <c r="AD15" s="8">
        <v>400</v>
      </c>
      <c r="AE15" s="5">
        <v>200</v>
      </c>
      <c r="AF15" s="5">
        <v>49.9</v>
      </c>
      <c r="AG15" s="8">
        <f>Table11232[[#This Row],[pho (%)]]/100*Table11232[[#This Row],[b (mm)]]*Table11232[[#This Row],[d (mm)]]</f>
        <v>1607.58</v>
      </c>
      <c r="AH15" s="1">
        <v>2.29</v>
      </c>
      <c r="AI15" s="8">
        <v>500</v>
      </c>
      <c r="AJ15" s="8">
        <f>(1/3-0.21*(MIN(Table11232[[#This Row],[b (mm)]],AD15)/MAX(Table11232[[#This Row],[b (mm)]],AD15))*(MIN(Table11232[[#This Row],[b (mm)]],AD15)^4/(12*MAX(Table11232[[#This Row],[b (mm)]],AD15)^4)))*MAX(Table11232[[#This Row],[b (mm)]],AD15)*MIN(Table11232[[#This Row],[b (mm)]],AD15)^3</f>
        <v>1064916666.6666665</v>
      </c>
      <c r="AK15" s="8">
        <f>Table11232[[#This Row],[b (mm)]]*AD15^3/12</f>
        <v>1066666666.6666666</v>
      </c>
      <c r="AL15" s="8">
        <v>2600</v>
      </c>
      <c r="AM15" s="12"/>
      <c r="AN15" s="6"/>
    </row>
    <row r="16" spans="1:42" x14ac:dyDescent="0.25">
      <c r="A16" s="56" t="s">
        <v>137</v>
      </c>
      <c r="B16" s="15">
        <v>1</v>
      </c>
      <c r="C16" s="3">
        <v>15</v>
      </c>
      <c r="D16" s="15">
        <v>3.08</v>
      </c>
      <c r="E16" s="15">
        <v>35</v>
      </c>
      <c r="F16" s="15">
        <v>351</v>
      </c>
      <c r="G16" s="8">
        <f t="shared" ref="G16:G24" si="8">E16*AB16</f>
        <v>37837.799999999996</v>
      </c>
      <c r="H16" s="8">
        <f t="shared" ref="H16:H24" si="9">G16/($AN$5*AK16*0.001)</f>
        <v>1.3468972671767562E-6</v>
      </c>
      <c r="I16" s="8">
        <f>G16/(Table11232[[#This Row],[b (mm)]]*AC16^2)</f>
        <v>1.5356125356125354E-3</v>
      </c>
      <c r="J16" s="8">
        <f t="shared" ref="J16:J24" si="10">G16/(AG16*AI16*AC16*0.001)</f>
        <v>0.10271655756605588</v>
      </c>
      <c r="K16" s="8">
        <f t="shared" ref="K16:K24" si="11">E16/($AN$4*AJ16*0.001)</f>
        <v>1.0467013207875382E-6</v>
      </c>
      <c r="L16" s="8">
        <f>E16/(Table11232[[#This Row],[b (mm)]]*AC16)</f>
        <v>4.9857549857549861E-4</v>
      </c>
      <c r="M16" s="8">
        <f>Table11232[[#This Row],[M (KN.mm)]]/(Table11232[[#This Row],[b (mm)]]*Table11232[[#This Row],[d (mm)]])</f>
        <v>0.53899999999999992</v>
      </c>
      <c r="N16" s="8">
        <f>Table11232[[#This Row],[M (KN.mm)]]/(Table11232[[#This Row],[b (mm)]]*Table11232[[#This Row],[h (mm)]])</f>
        <v>0.47297249999999996</v>
      </c>
      <c r="O16" s="8">
        <f>Table11232[[#This Row],[M (KN.mm)]]/(Table11232[[#This Row],[b (mm)]]*Table11232[[#This Row],[h (mm)]]*Table11232[[#This Row],[L(mm)]])</f>
        <v>1.8191249999999998E-4</v>
      </c>
      <c r="P16" s="8">
        <f>Table11232[[#This Row],[M (KN.mm)]]/(Table11232[[#This Row],[b (mm)]]*Table11232[[#This Row],[d (mm)]]*Table11232[[#This Row],[L(mm)]])</f>
        <v>2.0730769230769229E-4</v>
      </c>
      <c r="Q16" s="8">
        <f>Table11232[[#This Row],[M (KN.mm)]]/(Table11232[[#This Row],[b (mm)]]*Table11232[[#This Row],[h (mm)]]*Table11232[[#This Row],[L(mm)]]*Table11232[[#This Row],[fc (Mpa)]])</f>
        <v>3.6455410821643284E-6</v>
      </c>
      <c r="R16" s="8">
        <f>Table11232[[#This Row],[M (KN.mm)]]/(Table11232[[#This Row],[b (mm)]]*Table11232[[#This Row],[h (mm)]]*Table11232[[#This Row],[L(mm)]]/2)</f>
        <v>3.6382499999999997E-4</v>
      </c>
      <c r="S16" s="8">
        <f>Table11232[[#This Row],[M (KN.mm)]]/(Table11232[[#This Row],[a (mm)]]*Table11232[[#This Row],[b (mm)]]*Table11232[[#This Row],[h (mm)]]*Table11232[[#This Row],[L(mm)]]/2)</f>
        <v>3.3653846153846149E-7</v>
      </c>
      <c r="T16" s="8">
        <f>G16/($AN$5*AK16*0.001*Table11232[[#This Row],[pho (%)]])</f>
        <v>4.5046731343704219E-7</v>
      </c>
      <c r="U16" s="8">
        <f>Table11232[[#This Row],[M (KN.mm)]]/(Table11232[[#This Row],[b (mm)]]*Table11232[[#This Row],[d (mm)]]*Table11232[[#This Row],[pho (%)]])</f>
        <v>0.18026755852842805</v>
      </c>
      <c r="V16" s="8">
        <f>E16*224.8/(2*SQRT(Table11232[[#This Row],[fc (Mpa)]]*145.037)*Table11232[[#This Row],[b (mm)]]*Table11232[[#This Row],[d (mm)]]*(1/25.4)^2)</f>
        <v>0.4249863681402013</v>
      </c>
      <c r="W16" s="8">
        <f>Table11232[[#This Row],[M (KN.mm)]]/$G$24</f>
        <v>0.14227642276422764</v>
      </c>
      <c r="X16" s="8">
        <f>E16*224.8/(2*SQRT(Table11232[[#This Row],[fc (Mpa)]]*145.037)*Table11232[[#This Row],[b (mm)]]*Table11232[[#This Row],[d (mm)]]*(1/25.4)^2+Table11232[[#This Row],[Av fy d/s (N)]]*0.2248)</f>
        <v>0.2024132485583055</v>
      </c>
      <c r="Y16" s="15">
        <v>1.29</v>
      </c>
      <c r="Z16" s="8">
        <f>Table11232[[#This Row],[Av fy/(b S) (Mpa)]]*Table11232[[#This Row],[d (mm)]]*Table11232[[#This Row],[b (mm)]]</f>
        <v>90558</v>
      </c>
      <c r="AA16" s="8">
        <f>Table11232[[#This Row],[d (mm)]]/260</f>
        <v>1.35</v>
      </c>
      <c r="AB16" s="8">
        <f>Table11232[[#This Row],[a/d]]*Table11232[[#This Row],[d]]</f>
        <v>1081.08</v>
      </c>
      <c r="AC16" s="8">
        <f>Table11232[[#This Row],[d]]</f>
        <v>351</v>
      </c>
      <c r="AD16" s="8">
        <v>400</v>
      </c>
      <c r="AE16" s="5">
        <v>200</v>
      </c>
      <c r="AF16" s="5">
        <v>49.9</v>
      </c>
      <c r="AG16" s="8">
        <f>Table11232[[#This Row],[pho (%)]]/100*Table11232[[#This Row],[b (mm)]]*Table11232[[#This Row],[d (mm)]]</f>
        <v>2098.98</v>
      </c>
      <c r="AH16" s="1">
        <v>2.99</v>
      </c>
      <c r="AI16" s="8">
        <v>500</v>
      </c>
      <c r="AJ16" s="8">
        <f>(1/3-0.21*(MIN(Table11232[[#This Row],[b (mm)]],AD16)/MAX(Table11232[[#This Row],[b (mm)]],AD16))*(MIN(Table11232[[#This Row],[b (mm)]],AD16)^4/(12*MAX(Table11232[[#This Row],[b (mm)]],AD16)^4)))*MAX(Table11232[[#This Row],[b (mm)]],AD16)*MIN(Table11232[[#This Row],[b (mm)]],AD16)^3</f>
        <v>1064916666.6666665</v>
      </c>
      <c r="AK16" s="8">
        <f>Table11232[[#This Row],[b (mm)]]*AD16^3/12</f>
        <v>1066666666.6666666</v>
      </c>
      <c r="AL16" s="8">
        <v>2600</v>
      </c>
      <c r="AM16" s="12"/>
      <c r="AN16" s="6"/>
    </row>
    <row r="17" spans="1:42" x14ac:dyDescent="0.25">
      <c r="A17" s="56" t="s">
        <v>137</v>
      </c>
      <c r="B17" s="15">
        <v>2</v>
      </c>
      <c r="C17" s="3">
        <v>16</v>
      </c>
      <c r="D17" s="15">
        <v>3.08</v>
      </c>
      <c r="E17" s="15">
        <v>42</v>
      </c>
      <c r="F17" s="15">
        <v>351</v>
      </c>
      <c r="G17" s="8">
        <f t="shared" si="8"/>
        <v>45405.36</v>
      </c>
      <c r="H17" s="8">
        <f t="shared" si="9"/>
        <v>1.6162767206121079E-6</v>
      </c>
      <c r="I17" s="8">
        <f>G17/(Table11232[[#This Row],[b (mm)]]*AC17^2)</f>
        <v>1.8427350427350428E-3</v>
      </c>
      <c r="J17" s="8">
        <f t="shared" si="10"/>
        <v>0.12325986907926707</v>
      </c>
      <c r="K17" s="8">
        <f t="shared" si="11"/>
        <v>1.2560415849450459E-6</v>
      </c>
      <c r="L17" s="8">
        <f>E17/(Table11232[[#This Row],[b (mm)]]*AC17)</f>
        <v>5.9829059829059829E-4</v>
      </c>
      <c r="M17" s="8">
        <f>Table11232[[#This Row],[M (KN.mm)]]/(Table11232[[#This Row],[b (mm)]]*Table11232[[#This Row],[d (mm)]])</f>
        <v>0.64680000000000004</v>
      </c>
      <c r="N17" s="8">
        <f>Table11232[[#This Row],[M (KN.mm)]]/(Table11232[[#This Row],[b (mm)]]*Table11232[[#This Row],[h (mm)]])</f>
        <v>0.56756700000000004</v>
      </c>
      <c r="O17" s="8">
        <f>Table11232[[#This Row],[M (KN.mm)]]/(Table11232[[#This Row],[b (mm)]]*Table11232[[#This Row],[h (mm)]]*Table11232[[#This Row],[L(mm)]])</f>
        <v>2.18295E-4</v>
      </c>
      <c r="P17" s="8">
        <f>Table11232[[#This Row],[M (KN.mm)]]/(Table11232[[#This Row],[b (mm)]]*Table11232[[#This Row],[d (mm)]]*Table11232[[#This Row],[L(mm)]])</f>
        <v>2.4876923076923079E-4</v>
      </c>
      <c r="Q17" s="8">
        <f>Table11232[[#This Row],[M (KN.mm)]]/(Table11232[[#This Row],[b (mm)]]*Table11232[[#This Row],[h (mm)]]*Table11232[[#This Row],[L(mm)]]*Table11232[[#This Row],[fc (Mpa)]])</f>
        <v>4.3746492985971941E-6</v>
      </c>
      <c r="R17" s="8">
        <f>Table11232[[#This Row],[M (KN.mm)]]/(Table11232[[#This Row],[b (mm)]]*Table11232[[#This Row],[h (mm)]]*Table11232[[#This Row],[L(mm)]]/2)</f>
        <v>4.3658999999999999E-4</v>
      </c>
      <c r="S17" s="8">
        <f>Table11232[[#This Row],[M (KN.mm)]]/(Table11232[[#This Row],[a (mm)]]*Table11232[[#This Row],[b (mm)]]*Table11232[[#This Row],[h (mm)]]*Table11232[[#This Row],[L(mm)]]/2)</f>
        <v>4.0384615384615386E-7</v>
      </c>
      <c r="T17" s="8">
        <f>G17/($AN$5*AK17*0.001*Table11232[[#This Row],[pho (%)]])</f>
        <v>5.4056077612445071E-7</v>
      </c>
      <c r="U17" s="8">
        <f>Table11232[[#This Row],[M (KN.mm)]]/(Table11232[[#This Row],[b (mm)]]*Table11232[[#This Row],[d (mm)]]*Table11232[[#This Row],[pho (%)]])</f>
        <v>0.21632107023411368</v>
      </c>
      <c r="V17" s="8">
        <f>E17*224.8/(2*SQRT(Table11232[[#This Row],[fc (Mpa)]]*145.037)*Table11232[[#This Row],[b (mm)]]*Table11232[[#This Row],[d (mm)]]*(1/25.4)^2)</f>
        <v>0.50998364176824162</v>
      </c>
      <c r="W17" s="8">
        <f>Table11232[[#This Row],[M (KN.mm)]]/$G$24</f>
        <v>0.17073170731707318</v>
      </c>
      <c r="X17" s="8">
        <f>E17*224.8/(2*SQRT(Table11232[[#This Row],[fc (Mpa)]]*145.037)*Table11232[[#This Row],[b (mm)]]*Table11232[[#This Row],[d (mm)]]*(1/25.4)^2+Table11232[[#This Row],[Av fy d/s (N)]]*0.2248)</f>
        <v>0.2428958982699666</v>
      </c>
      <c r="Y17" s="15">
        <v>1.29</v>
      </c>
      <c r="Z17" s="8">
        <f>Table11232[[#This Row],[Av fy/(b S) (Mpa)]]*Table11232[[#This Row],[d (mm)]]*Table11232[[#This Row],[b (mm)]]</f>
        <v>90558</v>
      </c>
      <c r="AA17" s="8">
        <f>Table11232[[#This Row],[d (mm)]]/260</f>
        <v>1.35</v>
      </c>
      <c r="AB17" s="8">
        <f>Table11232[[#This Row],[a/d]]*Table11232[[#This Row],[d]]</f>
        <v>1081.08</v>
      </c>
      <c r="AC17" s="8">
        <f>Table11232[[#This Row],[d]]</f>
        <v>351</v>
      </c>
      <c r="AD17" s="8">
        <v>400</v>
      </c>
      <c r="AE17" s="5">
        <v>200</v>
      </c>
      <c r="AF17" s="5">
        <v>49.9</v>
      </c>
      <c r="AG17" s="8">
        <f>Table11232[[#This Row],[pho (%)]]/100*Table11232[[#This Row],[b (mm)]]*Table11232[[#This Row],[d (mm)]]</f>
        <v>2098.98</v>
      </c>
      <c r="AH17" s="1">
        <v>2.99</v>
      </c>
      <c r="AI17" s="8">
        <v>500</v>
      </c>
      <c r="AJ17" s="8">
        <f>(1/3-0.21*(MIN(Table11232[[#This Row],[b (mm)]],AD17)/MAX(Table11232[[#This Row],[b (mm)]],AD17))*(MIN(Table11232[[#This Row],[b (mm)]],AD17)^4/(12*MAX(Table11232[[#This Row],[b (mm)]],AD17)^4)))*MAX(Table11232[[#This Row],[b (mm)]],AD17)*MIN(Table11232[[#This Row],[b (mm)]],AD17)^3</f>
        <v>1064916666.6666665</v>
      </c>
      <c r="AK17" s="8">
        <f>Table11232[[#This Row],[b (mm)]]*AD17^3/12</f>
        <v>1066666666.6666666</v>
      </c>
      <c r="AL17" s="8">
        <v>2600</v>
      </c>
      <c r="AM17" s="12"/>
      <c r="AN17" s="6"/>
    </row>
    <row r="18" spans="1:42" s="10" customFormat="1" x14ac:dyDescent="0.25">
      <c r="A18" s="56" t="s">
        <v>137</v>
      </c>
      <c r="B18" s="15">
        <v>3</v>
      </c>
      <c r="C18" s="3">
        <v>17</v>
      </c>
      <c r="D18" s="15">
        <v>3.08</v>
      </c>
      <c r="E18" s="15">
        <v>60</v>
      </c>
      <c r="F18" s="15">
        <v>351</v>
      </c>
      <c r="G18" s="8">
        <f t="shared" si="8"/>
        <v>64864.799999999996</v>
      </c>
      <c r="H18" s="8">
        <f t="shared" si="9"/>
        <v>2.3089667437315824E-6</v>
      </c>
      <c r="I18" s="8">
        <f>G18/(Table11232[[#This Row],[b (mm)]]*AC18^2)</f>
        <v>2.6324786324786321E-3</v>
      </c>
      <c r="J18" s="8">
        <f t="shared" si="10"/>
        <v>0.1760855272560958</v>
      </c>
      <c r="K18" s="8">
        <f t="shared" si="11"/>
        <v>1.7943451213500656E-6</v>
      </c>
      <c r="L18" s="8">
        <f>E18/(Table11232[[#This Row],[b (mm)]]*AC18)</f>
        <v>8.547008547008547E-4</v>
      </c>
      <c r="M18" s="8">
        <f>Table11232[[#This Row],[M (KN.mm)]]/(Table11232[[#This Row],[b (mm)]]*Table11232[[#This Row],[d (mm)]])</f>
        <v>0.92399999999999993</v>
      </c>
      <c r="N18" s="8">
        <f>Table11232[[#This Row],[M (KN.mm)]]/(Table11232[[#This Row],[b (mm)]]*Table11232[[#This Row],[h (mm)]])</f>
        <v>0.81080999999999992</v>
      </c>
      <c r="O18" s="8">
        <f>Table11232[[#This Row],[M (KN.mm)]]/(Table11232[[#This Row],[b (mm)]]*Table11232[[#This Row],[h (mm)]]*Table11232[[#This Row],[L(mm)]])</f>
        <v>3.1184999999999996E-4</v>
      </c>
      <c r="P18" s="8">
        <f>Table11232[[#This Row],[M (KN.mm)]]/(Table11232[[#This Row],[b (mm)]]*Table11232[[#This Row],[d (mm)]]*Table11232[[#This Row],[L(mm)]])</f>
        <v>3.5538461538461537E-4</v>
      </c>
      <c r="Q18" s="8">
        <f>Table11232[[#This Row],[M (KN.mm)]]/(Table11232[[#This Row],[b (mm)]]*Table11232[[#This Row],[h (mm)]]*Table11232[[#This Row],[L(mm)]]*Table11232[[#This Row],[fc (Mpa)]])</f>
        <v>6.2494989979959919E-6</v>
      </c>
      <c r="R18" s="8">
        <f>Table11232[[#This Row],[M (KN.mm)]]/(Table11232[[#This Row],[b (mm)]]*Table11232[[#This Row],[h (mm)]]*Table11232[[#This Row],[L(mm)]]/2)</f>
        <v>6.2369999999999993E-4</v>
      </c>
      <c r="S18" s="8">
        <f>Table11232[[#This Row],[M (KN.mm)]]/(Table11232[[#This Row],[a (mm)]]*Table11232[[#This Row],[b (mm)]]*Table11232[[#This Row],[h (mm)]]*Table11232[[#This Row],[L(mm)]]/2)</f>
        <v>5.7692307692307691E-7</v>
      </c>
      <c r="T18" s="8">
        <f>G18/($AN$5*AK18*0.001*Table11232[[#This Row],[pho (%)]])</f>
        <v>7.7222968017778669E-7</v>
      </c>
      <c r="U18" s="8">
        <f>Table11232[[#This Row],[M (KN.mm)]]/(Table11232[[#This Row],[b (mm)]]*Table11232[[#This Row],[d (mm)]]*Table11232[[#This Row],[pho (%)]])</f>
        <v>0.30903010033444811</v>
      </c>
      <c r="V18" s="8">
        <f>E18*224.8/(2*SQRT(Table11232[[#This Row],[fc (Mpa)]]*145.037)*Table11232[[#This Row],[b (mm)]]*Table11232[[#This Row],[d (mm)]]*(1/25.4)^2)</f>
        <v>0.72854805966891656</v>
      </c>
      <c r="W18" s="8">
        <f>Table11232[[#This Row],[M (KN.mm)]]/$G$24</f>
        <v>0.24390243902439024</v>
      </c>
      <c r="X18" s="8">
        <f>E18*224.8/(2*SQRT(Table11232[[#This Row],[fc (Mpa)]]*145.037)*Table11232[[#This Row],[b (mm)]]*Table11232[[#This Row],[d (mm)]]*(1/25.4)^2+Table11232[[#This Row],[Av fy d/s (N)]]*0.2248)</f>
        <v>0.34699414038566656</v>
      </c>
      <c r="Y18" s="15">
        <v>1.29</v>
      </c>
      <c r="Z18" s="8">
        <f>Table11232[[#This Row],[Av fy/(b S) (Mpa)]]*Table11232[[#This Row],[d (mm)]]*Table11232[[#This Row],[b (mm)]]</f>
        <v>90558</v>
      </c>
      <c r="AA18" s="8">
        <f>Table11232[[#This Row],[d (mm)]]/260</f>
        <v>1.35</v>
      </c>
      <c r="AB18" s="8">
        <f>Table11232[[#This Row],[a/d]]*Table11232[[#This Row],[d]]</f>
        <v>1081.08</v>
      </c>
      <c r="AC18" s="8">
        <f>Table11232[[#This Row],[d]]</f>
        <v>351</v>
      </c>
      <c r="AD18" s="8">
        <v>400</v>
      </c>
      <c r="AE18" s="5">
        <v>200</v>
      </c>
      <c r="AF18" s="5">
        <v>49.9</v>
      </c>
      <c r="AG18" s="8">
        <f>Table11232[[#This Row],[pho (%)]]/100*Table11232[[#This Row],[b (mm)]]*Table11232[[#This Row],[d (mm)]]</f>
        <v>2098.98</v>
      </c>
      <c r="AH18" s="1">
        <v>2.99</v>
      </c>
      <c r="AI18" s="8">
        <v>500</v>
      </c>
      <c r="AJ18" s="8">
        <f>(1/3-0.21*(MIN(Table11232[[#This Row],[b (mm)]],AD18)/MAX(Table11232[[#This Row],[b (mm)]],AD18))*(MIN(Table11232[[#This Row],[b (mm)]],AD18)^4/(12*MAX(Table11232[[#This Row],[b (mm)]],AD18)^4)))*MAX(Table11232[[#This Row],[b (mm)]],AD18)*MIN(Table11232[[#This Row],[b (mm)]],AD18)^3</f>
        <v>1064916666.6666665</v>
      </c>
      <c r="AK18" s="8">
        <f>Table11232[[#This Row],[b (mm)]]*AD18^3/12</f>
        <v>1066666666.6666666</v>
      </c>
      <c r="AL18" s="8">
        <v>2600</v>
      </c>
      <c r="AM18" s="12"/>
      <c r="AN18" s="9"/>
      <c r="AO18" s="12"/>
      <c r="AP18" s="1"/>
    </row>
    <row r="19" spans="1:42" s="10" customFormat="1" x14ac:dyDescent="0.25">
      <c r="A19" s="56" t="s">
        <v>137</v>
      </c>
      <c r="B19" s="15">
        <v>4</v>
      </c>
      <c r="C19" s="3">
        <v>18</v>
      </c>
      <c r="D19" s="15">
        <v>3.08</v>
      </c>
      <c r="E19" s="15">
        <v>85</v>
      </c>
      <c r="F19" s="15">
        <v>351</v>
      </c>
      <c r="G19" s="8">
        <f t="shared" si="8"/>
        <v>91891.799999999988</v>
      </c>
      <c r="H19" s="8">
        <f t="shared" si="9"/>
        <v>3.2710362202864083E-6</v>
      </c>
      <c r="I19" s="8">
        <f>G19/(Table11232[[#This Row],[b (mm)]]*AC19^2)</f>
        <v>3.729344729344729E-3</v>
      </c>
      <c r="J19" s="8">
        <f t="shared" si="10"/>
        <v>0.24945449694613572</v>
      </c>
      <c r="K19" s="8">
        <f t="shared" si="11"/>
        <v>2.5419889219125928E-6</v>
      </c>
      <c r="L19" s="8">
        <f>E19/(Table11232[[#This Row],[b (mm)]]*AC19)</f>
        <v>1.2108262108262108E-3</v>
      </c>
      <c r="M19" s="8">
        <f>Table11232[[#This Row],[M (KN.mm)]]/(Table11232[[#This Row],[b (mm)]]*Table11232[[#This Row],[d (mm)]])</f>
        <v>1.3089999999999999</v>
      </c>
      <c r="N19" s="8">
        <f>Table11232[[#This Row],[M (KN.mm)]]/(Table11232[[#This Row],[b (mm)]]*Table11232[[#This Row],[h (mm)]])</f>
        <v>1.1486474999999998</v>
      </c>
      <c r="O19" s="8">
        <f>Table11232[[#This Row],[M (KN.mm)]]/(Table11232[[#This Row],[b (mm)]]*Table11232[[#This Row],[h (mm)]]*Table11232[[#This Row],[L(mm)]])</f>
        <v>4.4178749999999997E-4</v>
      </c>
      <c r="P19" s="8">
        <f>Table11232[[#This Row],[M (KN.mm)]]/(Table11232[[#This Row],[b (mm)]]*Table11232[[#This Row],[d (mm)]]*Table11232[[#This Row],[L(mm)]])</f>
        <v>5.0346153846153835E-4</v>
      </c>
      <c r="Q19" s="8">
        <f>Table11232[[#This Row],[M (KN.mm)]]/(Table11232[[#This Row],[b (mm)]]*Table11232[[#This Row],[h (mm)]]*Table11232[[#This Row],[L(mm)]]*Table11232[[#This Row],[fc (Mpa)]])</f>
        <v>8.8534569138276536E-6</v>
      </c>
      <c r="R19" s="8">
        <f>Table11232[[#This Row],[M (KN.mm)]]/(Table11232[[#This Row],[b (mm)]]*Table11232[[#This Row],[h (mm)]]*Table11232[[#This Row],[L(mm)]]/2)</f>
        <v>8.8357499999999994E-4</v>
      </c>
      <c r="S19" s="8">
        <f>Table11232[[#This Row],[M (KN.mm)]]/(Table11232[[#This Row],[a (mm)]]*Table11232[[#This Row],[b (mm)]]*Table11232[[#This Row],[h (mm)]]*Table11232[[#This Row],[L(mm)]]/2)</f>
        <v>8.1730769230769218E-7</v>
      </c>
      <c r="T19" s="8">
        <f>G19/($AN$5*AK19*0.001*Table11232[[#This Row],[pho (%)]])</f>
        <v>1.093992046918531E-6</v>
      </c>
      <c r="U19" s="8">
        <f>Table11232[[#This Row],[M (KN.mm)]]/(Table11232[[#This Row],[b (mm)]]*Table11232[[#This Row],[d (mm)]]*Table11232[[#This Row],[pho (%)]])</f>
        <v>0.43779264214046809</v>
      </c>
      <c r="V19" s="8">
        <f>E19*224.8/(2*SQRT(Table11232[[#This Row],[fc (Mpa)]]*145.037)*Table11232[[#This Row],[b (mm)]]*Table11232[[#This Row],[d (mm)]]*(1/25.4)^2)</f>
        <v>1.0321097511976318</v>
      </c>
      <c r="W19" s="8">
        <f>Table11232[[#This Row],[M (KN.mm)]]/$G$24</f>
        <v>0.34552845528455284</v>
      </c>
      <c r="X19" s="8">
        <f>E19*224.8/(2*SQRT(Table11232[[#This Row],[fc (Mpa)]]*145.037)*Table11232[[#This Row],[b (mm)]]*Table11232[[#This Row],[d (mm)]]*(1/25.4)^2+Table11232[[#This Row],[Av fy d/s (N)]]*0.2248)</f>
        <v>0.49157503221302762</v>
      </c>
      <c r="Y19" s="15">
        <v>1.29</v>
      </c>
      <c r="Z19" s="8">
        <f>Table11232[[#This Row],[Av fy/(b S) (Mpa)]]*Table11232[[#This Row],[d (mm)]]*Table11232[[#This Row],[b (mm)]]</f>
        <v>90558</v>
      </c>
      <c r="AA19" s="8">
        <f>Table11232[[#This Row],[d (mm)]]/260</f>
        <v>1.35</v>
      </c>
      <c r="AB19" s="8">
        <f>Table11232[[#This Row],[a/d]]*Table11232[[#This Row],[d]]</f>
        <v>1081.08</v>
      </c>
      <c r="AC19" s="8">
        <f>Table11232[[#This Row],[d]]</f>
        <v>351</v>
      </c>
      <c r="AD19" s="8">
        <v>400</v>
      </c>
      <c r="AE19" s="5">
        <v>200</v>
      </c>
      <c r="AF19" s="5">
        <v>49.9</v>
      </c>
      <c r="AG19" s="8">
        <f>Table11232[[#This Row],[pho (%)]]/100*Table11232[[#This Row],[b (mm)]]*Table11232[[#This Row],[d (mm)]]</f>
        <v>2098.98</v>
      </c>
      <c r="AH19" s="1">
        <v>2.99</v>
      </c>
      <c r="AI19" s="8">
        <v>500</v>
      </c>
      <c r="AJ19" s="8">
        <f>(1/3-0.21*(MIN(Table11232[[#This Row],[b (mm)]],AD19)/MAX(Table11232[[#This Row],[b (mm)]],AD19))*(MIN(Table11232[[#This Row],[b (mm)]],AD19)^4/(12*MAX(Table11232[[#This Row],[b (mm)]],AD19)^4)))*MAX(Table11232[[#This Row],[b (mm)]],AD19)*MIN(Table11232[[#This Row],[b (mm)]],AD19)^3</f>
        <v>1064916666.6666665</v>
      </c>
      <c r="AK19" s="8">
        <f>Table11232[[#This Row],[b (mm)]]*AD19^3/12</f>
        <v>1066666666.6666666</v>
      </c>
      <c r="AL19" s="8">
        <v>2600</v>
      </c>
      <c r="AM19" s="12"/>
      <c r="AN19" s="9"/>
      <c r="AO19" s="12"/>
      <c r="AP19" s="1"/>
    </row>
    <row r="20" spans="1:42" s="10" customFormat="1" x14ac:dyDescent="0.25">
      <c r="A20" s="56" t="s">
        <v>137</v>
      </c>
      <c r="B20" s="15">
        <v>5</v>
      </c>
      <c r="C20" s="3">
        <v>19</v>
      </c>
      <c r="D20" s="15">
        <v>3.08</v>
      </c>
      <c r="E20" s="15">
        <v>110</v>
      </c>
      <c r="F20" s="15">
        <v>351</v>
      </c>
      <c r="G20" s="8">
        <f t="shared" si="8"/>
        <v>118918.79999999999</v>
      </c>
      <c r="H20" s="8">
        <f t="shared" si="9"/>
        <v>4.2331056968412338E-6</v>
      </c>
      <c r="I20" s="8">
        <f>G20/(Table11232[[#This Row],[b (mm)]]*AC20^2)</f>
        <v>4.8262108262108255E-3</v>
      </c>
      <c r="J20" s="8">
        <f t="shared" si="10"/>
        <v>0.32282346663617562</v>
      </c>
      <c r="K20" s="8">
        <f t="shared" si="11"/>
        <v>3.28963272247512E-6</v>
      </c>
      <c r="L20" s="8">
        <f>E20/(Table11232[[#This Row],[b (mm)]]*AC20)</f>
        <v>1.5669515669515669E-3</v>
      </c>
      <c r="M20" s="8">
        <f>Table11232[[#This Row],[M (KN.mm)]]/(Table11232[[#This Row],[b (mm)]]*Table11232[[#This Row],[d (mm)]])</f>
        <v>1.6939999999999997</v>
      </c>
      <c r="N20" s="8">
        <f>Table11232[[#This Row],[M (KN.mm)]]/(Table11232[[#This Row],[b (mm)]]*Table11232[[#This Row],[h (mm)]])</f>
        <v>1.4864849999999998</v>
      </c>
      <c r="O20" s="8">
        <f>Table11232[[#This Row],[M (KN.mm)]]/(Table11232[[#This Row],[b (mm)]]*Table11232[[#This Row],[h (mm)]]*Table11232[[#This Row],[L(mm)]])</f>
        <v>5.7172499999999992E-4</v>
      </c>
      <c r="P20" s="8">
        <f>Table11232[[#This Row],[M (KN.mm)]]/(Table11232[[#This Row],[b (mm)]]*Table11232[[#This Row],[d (mm)]]*Table11232[[#This Row],[L(mm)]])</f>
        <v>6.5153846153846143E-4</v>
      </c>
      <c r="Q20" s="8">
        <f>Table11232[[#This Row],[M (KN.mm)]]/(Table11232[[#This Row],[b (mm)]]*Table11232[[#This Row],[h (mm)]]*Table11232[[#This Row],[L(mm)]]*Table11232[[#This Row],[fc (Mpa)]])</f>
        <v>1.1457414829659317E-5</v>
      </c>
      <c r="R20" s="8">
        <f>Table11232[[#This Row],[M (KN.mm)]]/(Table11232[[#This Row],[b (mm)]]*Table11232[[#This Row],[h (mm)]]*Table11232[[#This Row],[L(mm)]]/2)</f>
        <v>1.1434499999999998E-3</v>
      </c>
      <c r="S20" s="8">
        <f>Table11232[[#This Row],[M (KN.mm)]]/(Table11232[[#This Row],[a (mm)]]*Table11232[[#This Row],[b (mm)]]*Table11232[[#This Row],[h (mm)]]*Table11232[[#This Row],[L(mm)]]/2)</f>
        <v>1.0576923076923076E-6</v>
      </c>
      <c r="T20" s="8">
        <f>G20/($AN$5*AK20*0.001*Table11232[[#This Row],[pho (%)]])</f>
        <v>1.4157544136592756E-6</v>
      </c>
      <c r="U20" s="8">
        <f>Table11232[[#This Row],[M (KN.mm)]]/(Table11232[[#This Row],[b (mm)]]*Table11232[[#This Row],[d (mm)]]*Table11232[[#This Row],[pho (%)]])</f>
        <v>0.56655518394648818</v>
      </c>
      <c r="V20" s="8">
        <f>E20*224.8/(2*SQRT(Table11232[[#This Row],[fc (Mpa)]]*145.037)*Table11232[[#This Row],[b (mm)]]*Table11232[[#This Row],[d (mm)]]*(1/25.4)^2)</f>
        <v>1.335671442726347</v>
      </c>
      <c r="W20" s="8">
        <f>Table11232[[#This Row],[M (KN.mm)]]/$G$24</f>
        <v>0.44715447154471544</v>
      </c>
      <c r="X20" s="8">
        <f>E20*224.8/(2*SQRT(Table11232[[#This Row],[fc (Mpa)]]*145.037)*Table11232[[#This Row],[b (mm)]]*Table11232[[#This Row],[d (mm)]]*(1/25.4)^2+Table11232[[#This Row],[Av fy d/s (N)]]*0.2248)</f>
        <v>0.63615592404038868</v>
      </c>
      <c r="Y20" s="15">
        <v>1.29</v>
      </c>
      <c r="Z20" s="8">
        <f>Table11232[[#This Row],[Av fy/(b S) (Mpa)]]*Table11232[[#This Row],[d (mm)]]*Table11232[[#This Row],[b (mm)]]</f>
        <v>90558</v>
      </c>
      <c r="AA20" s="8">
        <f>Table11232[[#This Row],[d (mm)]]/260</f>
        <v>1.35</v>
      </c>
      <c r="AB20" s="8">
        <f>Table11232[[#This Row],[a/d]]*Table11232[[#This Row],[d]]</f>
        <v>1081.08</v>
      </c>
      <c r="AC20" s="8">
        <f>Table11232[[#This Row],[d]]</f>
        <v>351</v>
      </c>
      <c r="AD20" s="8">
        <v>400</v>
      </c>
      <c r="AE20" s="5">
        <v>200</v>
      </c>
      <c r="AF20" s="5">
        <v>49.9</v>
      </c>
      <c r="AG20" s="8">
        <f>Table11232[[#This Row],[pho (%)]]/100*Table11232[[#This Row],[b (mm)]]*Table11232[[#This Row],[d (mm)]]</f>
        <v>2098.98</v>
      </c>
      <c r="AH20" s="1">
        <v>2.99</v>
      </c>
      <c r="AI20" s="8">
        <v>500</v>
      </c>
      <c r="AJ20" s="8">
        <f>(1/3-0.21*(MIN(Table11232[[#This Row],[b (mm)]],AD20)/MAX(Table11232[[#This Row],[b (mm)]],AD20))*(MIN(Table11232[[#This Row],[b (mm)]],AD20)^4/(12*MAX(Table11232[[#This Row],[b (mm)]],AD20)^4)))*MAX(Table11232[[#This Row],[b (mm)]],AD20)*MIN(Table11232[[#This Row],[b (mm)]],AD20)^3</f>
        <v>1064916666.6666665</v>
      </c>
      <c r="AK20" s="8">
        <f>Table11232[[#This Row],[b (mm)]]*AD20^3/12</f>
        <v>1066666666.6666666</v>
      </c>
      <c r="AL20" s="8">
        <v>2600</v>
      </c>
      <c r="AM20" s="12"/>
      <c r="AN20" s="9"/>
      <c r="AO20" s="12"/>
      <c r="AP20" s="1"/>
    </row>
    <row r="21" spans="1:42" s="10" customFormat="1" x14ac:dyDescent="0.25">
      <c r="A21" s="56" t="s">
        <v>137</v>
      </c>
      <c r="B21" s="15">
        <v>6</v>
      </c>
      <c r="C21" s="3">
        <v>20</v>
      </c>
      <c r="D21" s="15">
        <v>3.08</v>
      </c>
      <c r="E21" s="15">
        <v>130</v>
      </c>
      <c r="F21" s="15">
        <v>351</v>
      </c>
      <c r="G21" s="8">
        <f t="shared" si="8"/>
        <v>140540.4</v>
      </c>
      <c r="H21" s="8">
        <f t="shared" si="9"/>
        <v>5.0027612780850956E-6</v>
      </c>
      <c r="I21" s="8">
        <f>G21/(Table11232[[#This Row],[b (mm)]]*AC21^2)</f>
        <v>5.7037037037037039E-3</v>
      </c>
      <c r="J21" s="8">
        <f t="shared" si="10"/>
        <v>0.3815186423882076</v>
      </c>
      <c r="K21" s="8">
        <f t="shared" si="11"/>
        <v>3.8877477629251424E-6</v>
      </c>
      <c r="L21" s="8">
        <f>E21/(Table11232[[#This Row],[b (mm)]]*AC21)</f>
        <v>1.8518518518518519E-3</v>
      </c>
      <c r="M21" s="8">
        <f>Table11232[[#This Row],[M (KN.mm)]]/(Table11232[[#This Row],[b (mm)]]*Table11232[[#This Row],[d (mm)]])</f>
        <v>2.0019999999999998</v>
      </c>
      <c r="N21" s="8">
        <f>Table11232[[#This Row],[M (KN.mm)]]/(Table11232[[#This Row],[b (mm)]]*Table11232[[#This Row],[h (mm)]])</f>
        <v>1.7567549999999998</v>
      </c>
      <c r="O21" s="8">
        <f>Table11232[[#This Row],[M (KN.mm)]]/(Table11232[[#This Row],[b (mm)]]*Table11232[[#This Row],[h (mm)]]*Table11232[[#This Row],[L(mm)]])</f>
        <v>6.7567499999999993E-4</v>
      </c>
      <c r="P21" s="8">
        <f>Table11232[[#This Row],[M (KN.mm)]]/(Table11232[[#This Row],[b (mm)]]*Table11232[[#This Row],[d (mm)]]*Table11232[[#This Row],[L(mm)]])</f>
        <v>7.6999999999999996E-4</v>
      </c>
      <c r="Q21" s="8">
        <f>Table11232[[#This Row],[M (KN.mm)]]/(Table11232[[#This Row],[b (mm)]]*Table11232[[#This Row],[h (mm)]]*Table11232[[#This Row],[L(mm)]]*Table11232[[#This Row],[fc (Mpa)]])</f>
        <v>1.3540581162324649E-5</v>
      </c>
      <c r="R21" s="8">
        <f>Table11232[[#This Row],[M (KN.mm)]]/(Table11232[[#This Row],[b (mm)]]*Table11232[[#This Row],[h (mm)]]*Table11232[[#This Row],[L(mm)]]/2)</f>
        <v>1.3513499999999999E-3</v>
      </c>
      <c r="S21" s="8">
        <f>Table11232[[#This Row],[M (KN.mm)]]/(Table11232[[#This Row],[a (mm)]]*Table11232[[#This Row],[b (mm)]]*Table11232[[#This Row],[h (mm)]]*Table11232[[#This Row],[L(mm)]]/2)</f>
        <v>1.2499999999999999E-6</v>
      </c>
      <c r="T21" s="8">
        <f>G21/($AN$5*AK21*0.001*Table11232[[#This Row],[pho (%)]])</f>
        <v>1.6731643070518712E-6</v>
      </c>
      <c r="U21" s="8">
        <f>Table11232[[#This Row],[M (KN.mm)]]/(Table11232[[#This Row],[b (mm)]]*Table11232[[#This Row],[d (mm)]]*Table11232[[#This Row],[pho (%)]])</f>
        <v>0.66956521739130426</v>
      </c>
      <c r="V21" s="8">
        <f>E21*224.8/(2*SQRT(Table11232[[#This Row],[fc (Mpa)]]*145.037)*Table11232[[#This Row],[b (mm)]]*Table11232[[#This Row],[d (mm)]]*(1/25.4)^2)</f>
        <v>1.578520795949319</v>
      </c>
      <c r="W21" s="8">
        <f>Table11232[[#This Row],[M (KN.mm)]]/$G$24</f>
        <v>0.52845528455284552</v>
      </c>
      <c r="X21" s="8">
        <f>E21*224.8/(2*SQRT(Table11232[[#This Row],[fc (Mpa)]]*145.037)*Table11232[[#This Row],[b (mm)]]*Table11232[[#This Row],[d (mm)]]*(1/25.4)^2+Table11232[[#This Row],[Av fy d/s (N)]]*0.2248)</f>
        <v>0.75182063750227757</v>
      </c>
      <c r="Y21" s="15">
        <v>1.29</v>
      </c>
      <c r="Z21" s="8">
        <f>Table11232[[#This Row],[Av fy/(b S) (Mpa)]]*Table11232[[#This Row],[d (mm)]]*Table11232[[#This Row],[b (mm)]]</f>
        <v>90558</v>
      </c>
      <c r="AA21" s="8">
        <f>Table11232[[#This Row],[d (mm)]]/260</f>
        <v>1.35</v>
      </c>
      <c r="AB21" s="8">
        <f>Table11232[[#This Row],[a/d]]*Table11232[[#This Row],[d]]</f>
        <v>1081.08</v>
      </c>
      <c r="AC21" s="8">
        <f>Table11232[[#This Row],[d]]</f>
        <v>351</v>
      </c>
      <c r="AD21" s="8">
        <v>400</v>
      </c>
      <c r="AE21" s="5">
        <v>200</v>
      </c>
      <c r="AF21" s="5">
        <v>49.9</v>
      </c>
      <c r="AG21" s="8">
        <f>Table11232[[#This Row],[pho (%)]]/100*Table11232[[#This Row],[b (mm)]]*Table11232[[#This Row],[d (mm)]]</f>
        <v>2098.98</v>
      </c>
      <c r="AH21" s="1">
        <v>2.99</v>
      </c>
      <c r="AI21" s="8">
        <v>500</v>
      </c>
      <c r="AJ21" s="8">
        <f>(1/3-0.21*(MIN(Table11232[[#This Row],[b (mm)]],AD21)/MAX(Table11232[[#This Row],[b (mm)]],AD21))*(MIN(Table11232[[#This Row],[b (mm)]],AD21)^4/(12*MAX(Table11232[[#This Row],[b (mm)]],AD21)^4)))*MAX(Table11232[[#This Row],[b (mm)]],AD21)*MIN(Table11232[[#This Row],[b (mm)]],AD21)^3</f>
        <v>1064916666.6666665</v>
      </c>
      <c r="AK21" s="8">
        <f>Table11232[[#This Row],[b (mm)]]*AD21^3/12</f>
        <v>1066666666.6666666</v>
      </c>
      <c r="AL21" s="8">
        <v>2600</v>
      </c>
      <c r="AM21" s="12"/>
      <c r="AN21" s="9"/>
      <c r="AO21" s="12"/>
      <c r="AP21" s="1"/>
    </row>
    <row r="22" spans="1:42" s="10" customFormat="1" x14ac:dyDescent="0.25">
      <c r="A22" s="56" t="s">
        <v>137</v>
      </c>
      <c r="B22" s="15">
        <v>7</v>
      </c>
      <c r="C22" s="3">
        <v>21</v>
      </c>
      <c r="D22" s="15">
        <v>3.08</v>
      </c>
      <c r="E22" s="15">
        <v>150</v>
      </c>
      <c r="F22" s="15">
        <v>351</v>
      </c>
      <c r="G22" s="8">
        <f t="shared" si="8"/>
        <v>162162</v>
      </c>
      <c r="H22" s="8">
        <f t="shared" si="9"/>
        <v>5.7724168593289565E-6</v>
      </c>
      <c r="I22" s="8">
        <f>G22/(Table11232[[#This Row],[b (mm)]]*AC22^2)</f>
        <v>6.5811965811965814E-3</v>
      </c>
      <c r="J22" s="8">
        <f t="shared" si="10"/>
        <v>0.44021381814023958</v>
      </c>
      <c r="K22" s="8">
        <f t="shared" si="11"/>
        <v>4.485862803375164E-6</v>
      </c>
      <c r="L22" s="8">
        <f>E22/(Table11232[[#This Row],[b (mm)]]*AC22)</f>
        <v>2.136752136752137E-3</v>
      </c>
      <c r="M22" s="8">
        <f>Table11232[[#This Row],[M (KN.mm)]]/(Table11232[[#This Row],[b (mm)]]*Table11232[[#This Row],[d (mm)]])</f>
        <v>2.31</v>
      </c>
      <c r="N22" s="8">
        <f>Table11232[[#This Row],[M (KN.mm)]]/(Table11232[[#This Row],[b (mm)]]*Table11232[[#This Row],[h (mm)]])</f>
        <v>2.0270250000000001</v>
      </c>
      <c r="O22" s="8">
        <f>Table11232[[#This Row],[M (KN.mm)]]/(Table11232[[#This Row],[b (mm)]]*Table11232[[#This Row],[h (mm)]]*Table11232[[#This Row],[L(mm)]])</f>
        <v>7.7962500000000004E-4</v>
      </c>
      <c r="P22" s="8">
        <f>Table11232[[#This Row],[M (KN.mm)]]/(Table11232[[#This Row],[b (mm)]]*Table11232[[#This Row],[d (mm)]]*Table11232[[#This Row],[L(mm)]])</f>
        <v>8.8846153846153849E-4</v>
      </c>
      <c r="Q22" s="8">
        <f>Table11232[[#This Row],[M (KN.mm)]]/(Table11232[[#This Row],[b (mm)]]*Table11232[[#This Row],[h (mm)]]*Table11232[[#This Row],[L(mm)]]*Table11232[[#This Row],[fc (Mpa)]])</f>
        <v>1.562374749498998E-5</v>
      </c>
      <c r="R22" s="8">
        <f>Table11232[[#This Row],[M (KN.mm)]]/(Table11232[[#This Row],[b (mm)]]*Table11232[[#This Row],[h (mm)]]*Table11232[[#This Row],[L(mm)]]/2)</f>
        <v>1.5592500000000001E-3</v>
      </c>
      <c r="S22" s="8">
        <f>Table11232[[#This Row],[M (KN.mm)]]/(Table11232[[#This Row],[a (mm)]]*Table11232[[#This Row],[b (mm)]]*Table11232[[#This Row],[h (mm)]]*Table11232[[#This Row],[L(mm)]]/2)</f>
        <v>1.4423076923076922E-6</v>
      </c>
      <c r="T22" s="8">
        <f>G22/($AN$5*AK22*0.001*Table11232[[#This Row],[pho (%)]])</f>
        <v>1.9305742004444668E-6</v>
      </c>
      <c r="U22" s="8">
        <f>Table11232[[#This Row],[M (KN.mm)]]/(Table11232[[#This Row],[b (mm)]]*Table11232[[#This Row],[d (mm)]]*Table11232[[#This Row],[pho (%)]])</f>
        <v>0.77257525083612033</v>
      </c>
      <c r="V22" s="8">
        <f>E22*224.8/(2*SQRT(Table11232[[#This Row],[fc (Mpa)]]*145.037)*Table11232[[#This Row],[b (mm)]]*Table11232[[#This Row],[d (mm)]]*(1/25.4)^2)</f>
        <v>1.8213701491722913</v>
      </c>
      <c r="W22" s="8">
        <f>Table11232[[#This Row],[M (KN.mm)]]/$G$24</f>
        <v>0.6097560975609756</v>
      </c>
      <c r="X22" s="8">
        <f>E22*224.8/(2*SQRT(Table11232[[#This Row],[fc (Mpa)]]*145.037)*Table11232[[#This Row],[b (mm)]]*Table11232[[#This Row],[d (mm)]]*(1/25.4)^2+Table11232[[#This Row],[Av fy d/s (N)]]*0.2248)</f>
        <v>0.86748535096416635</v>
      </c>
      <c r="Y22" s="15">
        <v>1.29</v>
      </c>
      <c r="Z22" s="8">
        <f>Table11232[[#This Row],[Av fy/(b S) (Mpa)]]*Table11232[[#This Row],[d (mm)]]*Table11232[[#This Row],[b (mm)]]</f>
        <v>90558</v>
      </c>
      <c r="AA22" s="8">
        <f>Table11232[[#This Row],[d (mm)]]/260</f>
        <v>1.35</v>
      </c>
      <c r="AB22" s="8">
        <f>Table11232[[#This Row],[a/d]]*Table11232[[#This Row],[d]]</f>
        <v>1081.08</v>
      </c>
      <c r="AC22" s="8">
        <f>Table11232[[#This Row],[d]]</f>
        <v>351</v>
      </c>
      <c r="AD22" s="8">
        <v>400</v>
      </c>
      <c r="AE22" s="5">
        <v>200</v>
      </c>
      <c r="AF22" s="5">
        <v>49.9</v>
      </c>
      <c r="AG22" s="8">
        <f>Table11232[[#This Row],[pho (%)]]/100*Table11232[[#This Row],[b (mm)]]*Table11232[[#This Row],[d (mm)]]</f>
        <v>2098.98</v>
      </c>
      <c r="AH22" s="1">
        <v>2.99</v>
      </c>
      <c r="AI22" s="8">
        <v>500</v>
      </c>
      <c r="AJ22" s="8">
        <f>(1/3-0.21*(MIN(Table11232[[#This Row],[b (mm)]],AD22)/MAX(Table11232[[#This Row],[b (mm)]],AD22))*(MIN(Table11232[[#This Row],[b (mm)]],AD22)^4/(12*MAX(Table11232[[#This Row],[b (mm)]],AD22)^4)))*MAX(Table11232[[#This Row],[b (mm)]],AD22)*MIN(Table11232[[#This Row],[b (mm)]],AD22)^3</f>
        <v>1064916666.6666665</v>
      </c>
      <c r="AK22" s="8">
        <f>Table11232[[#This Row],[b (mm)]]*AD22^3/12</f>
        <v>1066666666.6666666</v>
      </c>
      <c r="AL22" s="8">
        <v>2600</v>
      </c>
      <c r="AM22" s="12"/>
      <c r="AN22" s="12"/>
      <c r="AO22" s="12"/>
      <c r="AP22" s="1"/>
    </row>
    <row r="23" spans="1:42" s="10" customFormat="1" x14ac:dyDescent="0.25">
      <c r="A23" s="56" t="s">
        <v>137</v>
      </c>
      <c r="B23" s="15">
        <v>8</v>
      </c>
      <c r="C23" s="3">
        <v>22</v>
      </c>
      <c r="D23" s="15">
        <v>3.08</v>
      </c>
      <c r="E23" s="15">
        <v>195</v>
      </c>
      <c r="F23" s="15">
        <v>351</v>
      </c>
      <c r="G23" s="8">
        <f t="shared" si="8"/>
        <v>210810.59999999998</v>
      </c>
      <c r="H23" s="8">
        <f t="shared" si="9"/>
        <v>7.5041419171276421E-6</v>
      </c>
      <c r="I23" s="8">
        <f>G23/(Table11232[[#This Row],[b (mm)]]*AC23^2)</f>
        <v>8.5555555555555541E-3</v>
      </c>
      <c r="J23" s="8">
        <f t="shared" si="10"/>
        <v>0.57227796358231131</v>
      </c>
      <c r="K23" s="8">
        <f t="shared" si="11"/>
        <v>5.8316216443877128E-6</v>
      </c>
      <c r="L23" s="8">
        <f>E23/(Table11232[[#This Row],[b (mm)]]*AC23)</f>
        <v>2.7777777777777779E-3</v>
      </c>
      <c r="M23" s="8">
        <f>Table11232[[#This Row],[M (KN.mm)]]/(Table11232[[#This Row],[b (mm)]]*Table11232[[#This Row],[d (mm)]])</f>
        <v>3.0029999999999997</v>
      </c>
      <c r="N23" s="8">
        <f>Table11232[[#This Row],[M (KN.mm)]]/(Table11232[[#This Row],[b (mm)]]*Table11232[[#This Row],[h (mm)]])</f>
        <v>2.6351324999999997</v>
      </c>
      <c r="O23" s="8">
        <f>Table11232[[#This Row],[M (KN.mm)]]/(Table11232[[#This Row],[b (mm)]]*Table11232[[#This Row],[h (mm)]]*Table11232[[#This Row],[L(mm)]])</f>
        <v>1.0135124999999998E-3</v>
      </c>
      <c r="P23" s="8">
        <f>Table11232[[#This Row],[M (KN.mm)]]/(Table11232[[#This Row],[b (mm)]]*Table11232[[#This Row],[d (mm)]]*Table11232[[#This Row],[L(mm)]])</f>
        <v>1.1549999999999998E-3</v>
      </c>
      <c r="Q23" s="8">
        <f>Table11232[[#This Row],[M (KN.mm)]]/(Table11232[[#This Row],[b (mm)]]*Table11232[[#This Row],[h (mm)]]*Table11232[[#This Row],[L(mm)]]*Table11232[[#This Row],[fc (Mpa)]])</f>
        <v>2.0310871743486971E-5</v>
      </c>
      <c r="R23" s="8">
        <f>Table11232[[#This Row],[M (KN.mm)]]/(Table11232[[#This Row],[b (mm)]]*Table11232[[#This Row],[h (mm)]]*Table11232[[#This Row],[L(mm)]]/2)</f>
        <v>2.0270249999999996E-3</v>
      </c>
      <c r="S23" s="8">
        <f>Table11232[[#This Row],[M (KN.mm)]]/(Table11232[[#This Row],[a (mm)]]*Table11232[[#This Row],[b (mm)]]*Table11232[[#This Row],[h (mm)]]*Table11232[[#This Row],[L(mm)]]/2)</f>
        <v>1.8749999999999998E-6</v>
      </c>
      <c r="T23" s="8">
        <f>G23/($AN$5*AK23*0.001*Table11232[[#This Row],[pho (%)]])</f>
        <v>2.5097464605778068E-6</v>
      </c>
      <c r="U23" s="8">
        <f>Table11232[[#This Row],[M (KN.mm)]]/(Table11232[[#This Row],[b (mm)]]*Table11232[[#This Row],[d (mm)]]*Table11232[[#This Row],[pho (%)]])</f>
        <v>1.0043478260869563</v>
      </c>
      <c r="V23" s="8">
        <f>E23*224.8/(2*SQRT(Table11232[[#This Row],[fc (Mpa)]]*145.037)*Table11232[[#This Row],[b (mm)]]*Table11232[[#This Row],[d (mm)]]*(1/25.4)^2)</f>
        <v>2.3677811939239786</v>
      </c>
      <c r="W23" s="8">
        <f>Table11232[[#This Row],[M (KN.mm)]]/$G$24</f>
        <v>0.79268292682926822</v>
      </c>
      <c r="X23" s="8">
        <f>E23*224.8/(2*SQRT(Table11232[[#This Row],[fc (Mpa)]]*145.037)*Table11232[[#This Row],[b (mm)]]*Table11232[[#This Row],[d (mm)]]*(1/25.4)^2+Table11232[[#This Row],[Av fy d/s (N)]]*0.2248)</f>
        <v>1.1277309562534164</v>
      </c>
      <c r="Y23" s="15">
        <v>1.29</v>
      </c>
      <c r="Z23" s="8">
        <f>Table11232[[#This Row],[Av fy/(b S) (Mpa)]]*Table11232[[#This Row],[d (mm)]]*Table11232[[#This Row],[b (mm)]]</f>
        <v>90558</v>
      </c>
      <c r="AA23" s="8">
        <f>Table11232[[#This Row],[d (mm)]]/260</f>
        <v>1.35</v>
      </c>
      <c r="AB23" s="8">
        <f>Table11232[[#This Row],[a/d]]*Table11232[[#This Row],[d]]</f>
        <v>1081.08</v>
      </c>
      <c r="AC23" s="8">
        <f>Table11232[[#This Row],[d]]</f>
        <v>351</v>
      </c>
      <c r="AD23" s="8">
        <v>400</v>
      </c>
      <c r="AE23" s="5">
        <v>200</v>
      </c>
      <c r="AF23" s="5">
        <v>49.9</v>
      </c>
      <c r="AG23" s="8">
        <f>Table11232[[#This Row],[pho (%)]]/100*Table11232[[#This Row],[b (mm)]]*Table11232[[#This Row],[d (mm)]]</f>
        <v>2098.98</v>
      </c>
      <c r="AH23" s="1">
        <v>2.99</v>
      </c>
      <c r="AI23" s="8">
        <v>500</v>
      </c>
      <c r="AJ23" s="8">
        <f>(1/3-0.21*(MIN(Table11232[[#This Row],[b (mm)]],AD23)/MAX(Table11232[[#This Row],[b (mm)]],AD23))*(MIN(Table11232[[#This Row],[b (mm)]],AD23)^4/(12*MAX(Table11232[[#This Row],[b (mm)]],AD23)^4)))*MAX(Table11232[[#This Row],[b (mm)]],AD23)*MIN(Table11232[[#This Row],[b (mm)]],AD23)^3</f>
        <v>1064916666.6666665</v>
      </c>
      <c r="AK23" s="8">
        <f>Table11232[[#This Row],[b (mm)]]*AD23^3/12</f>
        <v>1066666666.6666666</v>
      </c>
      <c r="AL23" s="8">
        <v>2600</v>
      </c>
      <c r="AM23" s="12"/>
      <c r="AN23" s="12"/>
      <c r="AO23" s="12"/>
      <c r="AP23" s="1"/>
    </row>
    <row r="24" spans="1:42" s="10" customFormat="1" x14ac:dyDescent="0.25">
      <c r="A24" s="56" t="s">
        <v>137</v>
      </c>
      <c r="B24" s="15">
        <v>9</v>
      </c>
      <c r="C24" s="3">
        <v>23</v>
      </c>
      <c r="D24" s="15">
        <v>3.08</v>
      </c>
      <c r="E24" s="15">
        <v>246</v>
      </c>
      <c r="F24" s="15">
        <v>351</v>
      </c>
      <c r="G24" s="8">
        <f t="shared" si="8"/>
        <v>265945.68</v>
      </c>
      <c r="H24" s="8">
        <f t="shared" si="9"/>
        <v>9.4667636492994883E-6</v>
      </c>
      <c r="I24" s="8">
        <f>G24/(Table11232[[#This Row],[b (mm)]]*AC24^2)</f>
        <v>1.0793162393162394E-2</v>
      </c>
      <c r="J24" s="8">
        <f t="shared" si="10"/>
        <v>0.72195066174999289</v>
      </c>
      <c r="K24" s="8">
        <f t="shared" si="11"/>
        <v>7.3568149975352686E-6</v>
      </c>
      <c r="L24" s="8">
        <f>E24/(Table11232[[#This Row],[b (mm)]]*AC24)</f>
        <v>3.5042735042735045E-3</v>
      </c>
      <c r="M24" s="8">
        <f>Table11232[[#This Row],[M (KN.mm)]]/(Table11232[[#This Row],[b (mm)]]*Table11232[[#This Row],[d (mm)]])</f>
        <v>3.7883999999999998</v>
      </c>
      <c r="N24" s="8">
        <f>Table11232[[#This Row],[M (KN.mm)]]/(Table11232[[#This Row],[b (mm)]]*Table11232[[#This Row],[h (mm)]])</f>
        <v>3.3243209999999999</v>
      </c>
      <c r="O24" s="8">
        <f>Table11232[[#This Row],[M (KN.mm)]]/(Table11232[[#This Row],[b (mm)]]*Table11232[[#This Row],[h (mm)]]*Table11232[[#This Row],[L(mm)]])</f>
        <v>1.2785850000000001E-3</v>
      </c>
      <c r="P24" s="8">
        <f>Table11232[[#This Row],[M (KN.mm)]]/(Table11232[[#This Row],[b (mm)]]*Table11232[[#This Row],[d (mm)]]*Table11232[[#This Row],[L(mm)]])</f>
        <v>1.4570769230769231E-3</v>
      </c>
      <c r="Q24" s="8">
        <f>Table11232[[#This Row],[M (KN.mm)]]/(Table11232[[#This Row],[b (mm)]]*Table11232[[#This Row],[h (mm)]]*Table11232[[#This Row],[L(mm)]]*Table11232[[#This Row],[fc (Mpa)]])</f>
        <v>2.5622945891783566E-5</v>
      </c>
      <c r="R24" s="8">
        <f>Table11232[[#This Row],[M (KN.mm)]]/(Table11232[[#This Row],[b (mm)]]*Table11232[[#This Row],[h (mm)]]*Table11232[[#This Row],[L(mm)]]/2)</f>
        <v>2.5571700000000001E-3</v>
      </c>
      <c r="S24" s="8">
        <f>Table11232[[#This Row],[M (KN.mm)]]/(Table11232[[#This Row],[a (mm)]]*Table11232[[#This Row],[b (mm)]]*Table11232[[#This Row],[h (mm)]]*Table11232[[#This Row],[L(mm)]]/2)</f>
        <v>2.3653846153846152E-6</v>
      </c>
      <c r="T24" s="8">
        <f>G24/($AN$5*AK24*0.001*Table11232[[#This Row],[pho (%)]])</f>
        <v>3.1661416887289253E-6</v>
      </c>
      <c r="U24" s="8">
        <f>Table11232[[#This Row],[M (KN.mm)]]/(Table11232[[#This Row],[b (mm)]]*Table11232[[#This Row],[d (mm)]]*Table11232[[#This Row],[pho (%)]])</f>
        <v>1.2670234113712373</v>
      </c>
      <c r="V24" s="8">
        <f>E24*224.8/(2*SQRT(Table11232[[#This Row],[fc (Mpa)]]*145.037)*Table11232[[#This Row],[b (mm)]]*Table11232[[#This Row],[d (mm)]]*(1/25.4)^2)</f>
        <v>2.9870470446425581</v>
      </c>
      <c r="W24" s="8">
        <f>Table11232[[#This Row],[M (KN.mm)]]/$G$24</f>
        <v>1</v>
      </c>
      <c r="X24" s="8">
        <f>E24*224.8/(2*SQRT(Table11232[[#This Row],[fc (Mpa)]]*145.037)*Table11232[[#This Row],[b (mm)]]*Table11232[[#This Row],[d (mm)]]*(1/25.4)^2+Table11232[[#This Row],[Av fy d/s (N)]]*0.2248)</f>
        <v>1.422675975581233</v>
      </c>
      <c r="Y24" s="15">
        <v>1.29</v>
      </c>
      <c r="Z24" s="8">
        <f>Table11232[[#This Row],[Av fy/(b S) (Mpa)]]*Table11232[[#This Row],[d (mm)]]*Table11232[[#This Row],[b (mm)]]</f>
        <v>90558</v>
      </c>
      <c r="AA24" s="8">
        <f>Table11232[[#This Row],[d (mm)]]/260</f>
        <v>1.35</v>
      </c>
      <c r="AB24" s="8">
        <f>Table11232[[#This Row],[a/d]]*Table11232[[#This Row],[d]]</f>
        <v>1081.08</v>
      </c>
      <c r="AC24" s="8">
        <f>Table11232[[#This Row],[d]]</f>
        <v>351</v>
      </c>
      <c r="AD24" s="8">
        <v>400</v>
      </c>
      <c r="AE24" s="5">
        <v>200</v>
      </c>
      <c r="AF24" s="5">
        <v>49.9</v>
      </c>
      <c r="AG24" s="8">
        <f>Table11232[[#This Row],[pho (%)]]/100*Table11232[[#This Row],[b (mm)]]*Table11232[[#This Row],[d (mm)]]</f>
        <v>2098.98</v>
      </c>
      <c r="AH24" s="1">
        <v>2.99</v>
      </c>
      <c r="AI24" s="8">
        <v>500</v>
      </c>
      <c r="AJ24" s="8">
        <f>(1/3-0.21*(MIN(Table11232[[#This Row],[b (mm)]],AD24)/MAX(Table11232[[#This Row],[b (mm)]],AD24))*(MIN(Table11232[[#This Row],[b (mm)]],AD24)^4/(12*MAX(Table11232[[#This Row],[b (mm)]],AD24)^4)))*MAX(Table11232[[#This Row],[b (mm)]],AD24)*MIN(Table11232[[#This Row],[b (mm)]],AD24)^3</f>
        <v>1064916666.6666665</v>
      </c>
      <c r="AK24" s="8">
        <f>Table11232[[#This Row],[b (mm)]]*AD24^3/12</f>
        <v>1066666666.6666666</v>
      </c>
      <c r="AL24" s="8">
        <v>2600</v>
      </c>
      <c r="AM24" s="12"/>
      <c r="AN24" s="12"/>
      <c r="AO24" s="12"/>
      <c r="AP24" s="1"/>
    </row>
    <row r="25" spans="1:42" s="10" customFormat="1" x14ac:dyDescent="0.25">
      <c r="A25" s="33" t="s">
        <v>138</v>
      </c>
      <c r="B25" s="15">
        <v>1</v>
      </c>
      <c r="C25" s="3">
        <v>24</v>
      </c>
      <c r="D25" s="15">
        <v>3.06</v>
      </c>
      <c r="E25" s="15">
        <v>50</v>
      </c>
      <c r="F25" s="15">
        <v>353</v>
      </c>
      <c r="G25" s="8">
        <f t="shared" ref="G25:G31" si="12">E25*AB25</f>
        <v>54009</v>
      </c>
      <c r="H25" s="8">
        <f t="shared" ref="H25:H31" si="13">G25/($AN$5*AK25*0.001)</f>
        <v>1.922537105829341E-6</v>
      </c>
      <c r="I25" s="8">
        <f>G25/(Table11232[[#This Row],[b (mm)]]*AC25^2)</f>
        <v>2.1671388101983003E-3</v>
      </c>
      <c r="J25" s="8">
        <f t="shared" ref="J25:J31" si="14">G25/(AG25*AI25*AC25*0.001)</f>
        <v>0.19009989563142987</v>
      </c>
      <c r="K25" s="8">
        <f t="shared" ref="K25:K31" si="15">E25/($AN$4*AJ25*0.001)</f>
        <v>1.4952876011250546E-6</v>
      </c>
      <c r="L25" s="8">
        <f>E25/(Table11232[[#This Row],[b (mm)]]*AC25)</f>
        <v>7.0821529745042496E-4</v>
      </c>
      <c r="M25" s="8">
        <f>Table11232[[#This Row],[M (KN.mm)]]/(Table11232[[#This Row],[b (mm)]]*Table11232[[#This Row],[d (mm)]])</f>
        <v>0.76500000000000001</v>
      </c>
      <c r="N25" s="8">
        <f>Table11232[[#This Row],[M (KN.mm)]]/(Table11232[[#This Row],[b (mm)]]*Table11232[[#This Row],[h (mm)]])</f>
        <v>0.6751125</v>
      </c>
      <c r="O25" s="8">
        <f>Table11232[[#This Row],[M (KN.mm)]]/(Table11232[[#This Row],[b (mm)]]*Table11232[[#This Row],[h (mm)]]*Table11232[[#This Row],[L(mm)]])</f>
        <v>2.5965865384615383E-4</v>
      </c>
      <c r="P25" s="8">
        <f>Table11232[[#This Row],[M (KN.mm)]]/(Table11232[[#This Row],[b (mm)]]*Table11232[[#This Row],[d (mm)]]*Table11232[[#This Row],[L(mm)]])</f>
        <v>2.9423076923076923E-4</v>
      </c>
      <c r="Q25" s="8">
        <f>Table11232[[#This Row],[M (KN.mm)]]/(Table11232[[#This Row],[b (mm)]]*Table11232[[#This Row],[h (mm)]]*Table11232[[#This Row],[L(mm)]]*Table11232[[#This Row],[fc (Mpa)]])</f>
        <v>4.2707015435222676E-6</v>
      </c>
      <c r="R25" s="8">
        <f>Table11232[[#This Row],[M (KN.mm)]]/(Table11232[[#This Row],[b (mm)]]*Table11232[[#This Row],[h (mm)]]*Table11232[[#This Row],[L(mm)]]/2)</f>
        <v>5.1931730769230766E-4</v>
      </c>
      <c r="S25" s="8">
        <f>Table11232[[#This Row],[M (KN.mm)]]/(Table11232[[#This Row],[a (mm)]]*Table11232[[#This Row],[b (mm)]]*Table11232[[#This Row],[h (mm)]]*Table11232[[#This Row],[L(mm)]]/2)</f>
        <v>4.8076923076923074E-7</v>
      </c>
      <c r="T25" s="8">
        <f>G25/($AN$5*AK25*0.001*Table11232[[#This Row],[pho (%)]])</f>
        <v>8.4321802887251805E-7</v>
      </c>
      <c r="U25" s="8">
        <f>Table11232[[#This Row],[M (KN.mm)]]/(Table11232[[#This Row],[b (mm)]]*Table11232[[#This Row],[d (mm)]]*Table11232[[#This Row],[pho (%)]])</f>
        <v>0.33552631578947367</v>
      </c>
      <c r="V25" s="8">
        <f>E25*224.8/(2*SQRT(Table11232[[#This Row],[fc (Mpa)]]*145.037)*Table11232[[#This Row],[b (mm)]]*Table11232[[#This Row],[d (mm)]]*(1/25.4)^2)</f>
        <v>0.54689991274595251</v>
      </c>
      <c r="W25" s="8">
        <f>Table11232[[#This Row],[M (KN.mm)]]/$G$31</f>
        <v>0.27777777777777773</v>
      </c>
      <c r="X25" s="8">
        <f>E25*224.8/(2*SQRT(Table11232[[#This Row],[fc (Mpa)]]*145.037)*Table11232[[#This Row],[b (mm)]]*Table11232[[#This Row],[d (mm)]]*(1/25.4)^2+Table11232[[#This Row],[Av fy d/s (N)]]*0.2248)</f>
        <v>0.34683057676604351</v>
      </c>
      <c r="Y25" s="15">
        <v>0.747</v>
      </c>
      <c r="Z25" s="8">
        <f>Table11232[[#This Row],[Av fy/(b S) (Mpa)]]*Table11232[[#This Row],[d (mm)]]*Table11232[[#This Row],[b (mm)]]</f>
        <v>52738.2</v>
      </c>
      <c r="AA25" s="8">
        <f>Table11232[[#This Row],[d (mm)]]/260</f>
        <v>1.3576923076923078</v>
      </c>
      <c r="AB25" s="8">
        <f>Table11232[[#This Row],[a/d]]*Table11232[[#This Row],[d]]</f>
        <v>1080.18</v>
      </c>
      <c r="AC25" s="8">
        <f>Table11232[[#This Row],[d]]</f>
        <v>353</v>
      </c>
      <c r="AD25" s="8">
        <v>400</v>
      </c>
      <c r="AE25" s="5">
        <v>200</v>
      </c>
      <c r="AF25" s="1">
        <v>60.8</v>
      </c>
      <c r="AG25" s="8">
        <f>Table11232[[#This Row],[pho (%)]]/100*Table11232[[#This Row],[b (mm)]]*Table11232[[#This Row],[d (mm)]]</f>
        <v>1609.6799999999998</v>
      </c>
      <c r="AH25" s="1">
        <v>2.2799999999999998</v>
      </c>
      <c r="AI25" s="8">
        <v>500</v>
      </c>
      <c r="AJ25" s="8">
        <f>(1/3-0.21*(MIN(Table11232[[#This Row],[b (mm)]],AD25)/MAX(Table11232[[#This Row],[b (mm)]],AD25))*(MIN(Table11232[[#This Row],[b (mm)]],AD25)^4/(12*MAX(Table11232[[#This Row],[b (mm)]],AD25)^4)))*MAX(Table11232[[#This Row],[b (mm)]],AD25)*MIN(Table11232[[#This Row],[b (mm)]],AD25)^3</f>
        <v>1064916666.6666665</v>
      </c>
      <c r="AK25" s="8">
        <f>Table11232[[#This Row],[b (mm)]]*AD25^3/12</f>
        <v>1066666666.6666666</v>
      </c>
      <c r="AL25" s="8">
        <v>2600</v>
      </c>
      <c r="AM25" s="12"/>
      <c r="AN25" s="12"/>
      <c r="AO25" s="12"/>
      <c r="AP25" s="1"/>
    </row>
    <row r="26" spans="1:42" s="10" customFormat="1" x14ac:dyDescent="0.25">
      <c r="A26" s="33" t="s">
        <v>138</v>
      </c>
      <c r="B26" s="15">
        <v>2</v>
      </c>
      <c r="C26" s="3">
        <v>25</v>
      </c>
      <c r="D26" s="15">
        <v>3.06</v>
      </c>
      <c r="E26" s="15">
        <v>84</v>
      </c>
      <c r="F26" s="15">
        <v>353</v>
      </c>
      <c r="G26" s="8">
        <f t="shared" si="12"/>
        <v>90735.12000000001</v>
      </c>
      <c r="H26" s="8">
        <f t="shared" si="13"/>
        <v>3.2298623377932932E-6</v>
      </c>
      <c r="I26" s="8">
        <f>G26/(Table11232[[#This Row],[b (mm)]]*AC26^2)</f>
        <v>3.6407932011331447E-3</v>
      </c>
      <c r="J26" s="8">
        <f t="shared" si="14"/>
        <v>0.31936782466080221</v>
      </c>
      <c r="K26" s="8">
        <f t="shared" si="15"/>
        <v>2.5120831698900917E-6</v>
      </c>
      <c r="L26" s="8">
        <f>E26/(Table11232[[#This Row],[b (mm)]]*AC26)</f>
        <v>1.1898016997167139E-3</v>
      </c>
      <c r="M26" s="8">
        <f>Table11232[[#This Row],[M (KN.mm)]]/(Table11232[[#This Row],[b (mm)]]*Table11232[[#This Row],[d (mm)]])</f>
        <v>1.2852000000000001</v>
      </c>
      <c r="N26" s="8">
        <f>Table11232[[#This Row],[M (KN.mm)]]/(Table11232[[#This Row],[b (mm)]]*Table11232[[#This Row],[h (mm)]])</f>
        <v>1.1341890000000001</v>
      </c>
      <c r="O26" s="8">
        <f>Table11232[[#This Row],[M (KN.mm)]]/(Table11232[[#This Row],[b (mm)]]*Table11232[[#This Row],[h (mm)]]*Table11232[[#This Row],[L(mm)]])</f>
        <v>4.3622653846153849E-4</v>
      </c>
      <c r="P26" s="8">
        <f>Table11232[[#This Row],[M (KN.mm)]]/(Table11232[[#This Row],[b (mm)]]*Table11232[[#This Row],[d (mm)]]*Table11232[[#This Row],[L(mm)]])</f>
        <v>4.9430769230769233E-4</v>
      </c>
      <c r="Q26" s="8">
        <f>Table11232[[#This Row],[M (KN.mm)]]/(Table11232[[#This Row],[b (mm)]]*Table11232[[#This Row],[h (mm)]]*Table11232[[#This Row],[L(mm)]]*Table11232[[#This Row],[fc (Mpa)]])</f>
        <v>7.1747785931174098E-6</v>
      </c>
      <c r="R26" s="8">
        <f>Table11232[[#This Row],[M (KN.mm)]]/(Table11232[[#This Row],[b (mm)]]*Table11232[[#This Row],[h (mm)]]*Table11232[[#This Row],[L(mm)]]/2)</f>
        <v>8.7245307692307699E-4</v>
      </c>
      <c r="S26" s="8">
        <f>Table11232[[#This Row],[M (KN.mm)]]/(Table11232[[#This Row],[a (mm)]]*Table11232[[#This Row],[b (mm)]]*Table11232[[#This Row],[h (mm)]]*Table11232[[#This Row],[L(mm)]]/2)</f>
        <v>8.0769230769230783E-7</v>
      </c>
      <c r="T26" s="8">
        <f>G26/($AN$5*AK26*0.001*Table11232[[#This Row],[pho (%)]])</f>
        <v>1.4166062885058306E-6</v>
      </c>
      <c r="U26" s="8">
        <f>Table11232[[#This Row],[M (KN.mm)]]/(Table11232[[#This Row],[b (mm)]]*Table11232[[#This Row],[d (mm)]]*Table11232[[#This Row],[pho (%)]])</f>
        <v>0.5636842105263159</v>
      </c>
      <c r="V26" s="8">
        <f>E26*224.8/(2*SQRT(Table11232[[#This Row],[fc (Mpa)]]*145.037)*Table11232[[#This Row],[b (mm)]]*Table11232[[#This Row],[d (mm)]]*(1/25.4)^2)</f>
        <v>0.91879185341320024</v>
      </c>
      <c r="W26" s="8">
        <f>Table11232[[#This Row],[M (KN.mm)]]/$G$31</f>
        <v>0.46666666666666667</v>
      </c>
      <c r="X26" s="8">
        <f>E26*224.8/(2*SQRT(Table11232[[#This Row],[fc (Mpa)]]*145.037)*Table11232[[#This Row],[b (mm)]]*Table11232[[#This Row],[d (mm)]]*(1/25.4)^2+Table11232[[#This Row],[Av fy d/s (N)]]*0.2248)</f>
        <v>0.58267536896695316</v>
      </c>
      <c r="Y26" s="15">
        <v>0.747</v>
      </c>
      <c r="Z26" s="8">
        <f>Table11232[[#This Row],[Av fy/(b S) (Mpa)]]*Table11232[[#This Row],[d (mm)]]*Table11232[[#This Row],[b (mm)]]</f>
        <v>52738.2</v>
      </c>
      <c r="AA26" s="8">
        <f>Table11232[[#This Row],[d (mm)]]/260</f>
        <v>1.3576923076923078</v>
      </c>
      <c r="AB26" s="8">
        <f>Table11232[[#This Row],[a/d]]*Table11232[[#This Row],[d]]</f>
        <v>1080.18</v>
      </c>
      <c r="AC26" s="8">
        <f>Table11232[[#This Row],[d]]</f>
        <v>353</v>
      </c>
      <c r="AD26" s="8">
        <v>400</v>
      </c>
      <c r="AE26" s="5">
        <v>200</v>
      </c>
      <c r="AF26" s="1">
        <v>60.8</v>
      </c>
      <c r="AG26" s="8">
        <f>Table11232[[#This Row],[pho (%)]]/100*Table11232[[#This Row],[b (mm)]]*Table11232[[#This Row],[d (mm)]]</f>
        <v>1609.6799999999998</v>
      </c>
      <c r="AH26" s="1">
        <v>2.2799999999999998</v>
      </c>
      <c r="AI26" s="8">
        <v>500</v>
      </c>
      <c r="AJ26" s="8">
        <f>(1/3-0.21*(MIN(Table11232[[#This Row],[b (mm)]],AD26)/MAX(Table11232[[#This Row],[b (mm)]],AD26))*(MIN(Table11232[[#This Row],[b (mm)]],AD26)^4/(12*MAX(Table11232[[#This Row],[b (mm)]],AD26)^4)))*MAX(Table11232[[#This Row],[b (mm)]],AD26)*MIN(Table11232[[#This Row],[b (mm)]],AD26)^3</f>
        <v>1064916666.6666665</v>
      </c>
      <c r="AK26" s="8">
        <f>Table11232[[#This Row],[b (mm)]]*AD26^3/12</f>
        <v>1066666666.6666666</v>
      </c>
      <c r="AL26" s="8">
        <v>2600</v>
      </c>
      <c r="AM26" s="12"/>
      <c r="AN26" s="12"/>
      <c r="AO26" s="12"/>
      <c r="AP26" s="1"/>
    </row>
    <row r="27" spans="1:42" s="10" customFormat="1" x14ac:dyDescent="0.25">
      <c r="A27" s="33" t="s">
        <v>138</v>
      </c>
      <c r="B27" s="15">
        <v>3</v>
      </c>
      <c r="C27" s="3">
        <v>26</v>
      </c>
      <c r="D27" s="15">
        <v>3.06</v>
      </c>
      <c r="E27" s="15">
        <v>95</v>
      </c>
      <c r="F27" s="15">
        <v>353</v>
      </c>
      <c r="G27" s="8">
        <f t="shared" si="12"/>
        <v>102617.1</v>
      </c>
      <c r="H27" s="8">
        <f t="shared" si="13"/>
        <v>3.6528205010757482E-6</v>
      </c>
      <c r="I27" s="8">
        <f>G27/(Table11232[[#This Row],[b (mm)]]*AC27^2)</f>
        <v>4.117563739376771E-3</v>
      </c>
      <c r="J27" s="8">
        <f t="shared" si="14"/>
        <v>0.36118980169971676</v>
      </c>
      <c r="K27" s="8">
        <f t="shared" si="15"/>
        <v>2.8410464421376036E-6</v>
      </c>
      <c r="L27" s="8">
        <f>E27/(Table11232[[#This Row],[b (mm)]]*AC27)</f>
        <v>1.3456090651558074E-3</v>
      </c>
      <c r="M27" s="8">
        <f>Table11232[[#This Row],[M (KN.mm)]]/(Table11232[[#This Row],[b (mm)]]*Table11232[[#This Row],[d (mm)]])</f>
        <v>1.4535</v>
      </c>
      <c r="N27" s="8">
        <f>Table11232[[#This Row],[M (KN.mm)]]/(Table11232[[#This Row],[b (mm)]]*Table11232[[#This Row],[h (mm)]])</f>
        <v>1.2827137500000001</v>
      </c>
      <c r="O27" s="8">
        <f>Table11232[[#This Row],[M (KN.mm)]]/(Table11232[[#This Row],[b (mm)]]*Table11232[[#This Row],[h (mm)]]*Table11232[[#This Row],[L(mm)]])</f>
        <v>4.9335144230769237E-4</v>
      </c>
      <c r="P27" s="8">
        <f>Table11232[[#This Row],[M (KN.mm)]]/(Table11232[[#This Row],[b (mm)]]*Table11232[[#This Row],[d (mm)]]*Table11232[[#This Row],[L(mm)]])</f>
        <v>5.5903846153846162E-4</v>
      </c>
      <c r="Q27" s="8">
        <f>Table11232[[#This Row],[M (KN.mm)]]/(Table11232[[#This Row],[b (mm)]]*Table11232[[#This Row],[h (mm)]]*Table11232[[#This Row],[L(mm)]]*Table11232[[#This Row],[fc (Mpa)]])</f>
        <v>8.1143329326923088E-6</v>
      </c>
      <c r="R27" s="8">
        <f>Table11232[[#This Row],[M (KN.mm)]]/(Table11232[[#This Row],[b (mm)]]*Table11232[[#This Row],[h (mm)]]*Table11232[[#This Row],[L(mm)]]/2)</f>
        <v>9.8670288461538474E-4</v>
      </c>
      <c r="S27" s="8">
        <f>Table11232[[#This Row],[M (KN.mm)]]/(Table11232[[#This Row],[a (mm)]]*Table11232[[#This Row],[b (mm)]]*Table11232[[#This Row],[h (mm)]]*Table11232[[#This Row],[L(mm)]]/2)</f>
        <v>9.1346153846153856E-7</v>
      </c>
      <c r="T27" s="8">
        <f>G27/($AN$5*AK27*0.001*Table11232[[#This Row],[pho (%)]])</f>
        <v>1.6021142548577845E-6</v>
      </c>
      <c r="U27" s="8">
        <f>Table11232[[#This Row],[M (KN.mm)]]/(Table11232[[#This Row],[b (mm)]]*Table11232[[#This Row],[d (mm)]]*Table11232[[#This Row],[pho (%)]])</f>
        <v>0.63750000000000007</v>
      </c>
      <c r="V27" s="8">
        <f>E27*224.8/(2*SQRT(Table11232[[#This Row],[fc (Mpa)]]*145.037)*Table11232[[#This Row],[b (mm)]]*Table11232[[#This Row],[d (mm)]]*(1/25.4)^2)</f>
        <v>1.0391098342173097</v>
      </c>
      <c r="W27" s="8">
        <f>Table11232[[#This Row],[M (KN.mm)]]/$G$31</f>
        <v>0.52777777777777779</v>
      </c>
      <c r="X27" s="8">
        <f>E27*224.8/(2*SQRT(Table11232[[#This Row],[fc (Mpa)]]*145.037)*Table11232[[#This Row],[b (mm)]]*Table11232[[#This Row],[d (mm)]]*(1/25.4)^2+Table11232[[#This Row],[Av fy d/s (N)]]*0.2248)</f>
        <v>0.65897809585548273</v>
      </c>
      <c r="Y27" s="15">
        <v>0.747</v>
      </c>
      <c r="Z27" s="8">
        <f>Table11232[[#This Row],[Av fy/(b S) (Mpa)]]*Table11232[[#This Row],[d (mm)]]*Table11232[[#This Row],[b (mm)]]</f>
        <v>52738.2</v>
      </c>
      <c r="AA27" s="8">
        <f>Table11232[[#This Row],[d (mm)]]/260</f>
        <v>1.3576923076923078</v>
      </c>
      <c r="AB27" s="8">
        <f>Table11232[[#This Row],[a/d]]*Table11232[[#This Row],[d]]</f>
        <v>1080.18</v>
      </c>
      <c r="AC27" s="8">
        <f>Table11232[[#This Row],[d]]</f>
        <v>353</v>
      </c>
      <c r="AD27" s="8">
        <v>400</v>
      </c>
      <c r="AE27" s="5">
        <v>200</v>
      </c>
      <c r="AF27" s="1">
        <v>60.8</v>
      </c>
      <c r="AG27" s="8">
        <f>Table11232[[#This Row],[pho (%)]]/100*Table11232[[#This Row],[b (mm)]]*Table11232[[#This Row],[d (mm)]]</f>
        <v>1609.6799999999998</v>
      </c>
      <c r="AH27" s="1">
        <v>2.2799999999999998</v>
      </c>
      <c r="AI27" s="8">
        <v>500</v>
      </c>
      <c r="AJ27" s="8">
        <f>(1/3-0.21*(MIN(Table11232[[#This Row],[b (mm)]],AD27)/MAX(Table11232[[#This Row],[b (mm)]],AD27))*(MIN(Table11232[[#This Row],[b (mm)]],AD27)^4/(12*MAX(Table11232[[#This Row],[b (mm)]],AD27)^4)))*MAX(Table11232[[#This Row],[b (mm)]],AD27)*MIN(Table11232[[#This Row],[b (mm)]],AD27)^3</f>
        <v>1064916666.6666665</v>
      </c>
      <c r="AK27" s="8">
        <f>Table11232[[#This Row],[b (mm)]]*AD27^3/12</f>
        <v>1066666666.6666666</v>
      </c>
      <c r="AL27" s="8">
        <v>2600</v>
      </c>
      <c r="AM27" s="12"/>
      <c r="AN27" s="12"/>
      <c r="AO27" s="12"/>
      <c r="AP27" s="1"/>
    </row>
    <row r="28" spans="1:42" s="10" customFormat="1" x14ac:dyDescent="0.25">
      <c r="A28" s="33" t="s">
        <v>138</v>
      </c>
      <c r="B28" s="15">
        <v>4</v>
      </c>
      <c r="C28" s="3">
        <v>27</v>
      </c>
      <c r="D28" s="15">
        <v>3.06</v>
      </c>
      <c r="E28" s="15">
        <v>117</v>
      </c>
      <c r="F28" s="15">
        <v>353</v>
      </c>
      <c r="G28" s="8">
        <f t="shared" si="12"/>
        <v>126381.06000000001</v>
      </c>
      <c r="H28" s="8">
        <f t="shared" si="13"/>
        <v>4.4987368276406581E-6</v>
      </c>
      <c r="I28" s="8">
        <f>G28/(Table11232[[#This Row],[b (mm)]]*AC28^2)</f>
        <v>5.0711048158640229E-3</v>
      </c>
      <c r="J28" s="8">
        <f t="shared" si="14"/>
        <v>0.44483375577754597</v>
      </c>
      <c r="K28" s="8">
        <f t="shared" si="15"/>
        <v>3.4989729866326277E-6</v>
      </c>
      <c r="L28" s="8">
        <f>E28/(Table11232[[#This Row],[b (mm)]]*AC28)</f>
        <v>1.6572237960339943E-3</v>
      </c>
      <c r="M28" s="8">
        <f>Table11232[[#This Row],[M (KN.mm)]]/(Table11232[[#This Row],[b (mm)]]*Table11232[[#This Row],[d (mm)]])</f>
        <v>1.7901000000000002</v>
      </c>
      <c r="N28" s="8">
        <f>Table11232[[#This Row],[M (KN.mm)]]/(Table11232[[#This Row],[b (mm)]]*Table11232[[#This Row],[h (mm)]])</f>
        <v>1.5797632500000001</v>
      </c>
      <c r="O28" s="8">
        <f>Table11232[[#This Row],[M (KN.mm)]]/(Table11232[[#This Row],[b (mm)]]*Table11232[[#This Row],[h (mm)]]*Table11232[[#This Row],[L(mm)]])</f>
        <v>6.0760125000000002E-4</v>
      </c>
      <c r="P28" s="8">
        <f>Table11232[[#This Row],[M (KN.mm)]]/(Table11232[[#This Row],[b (mm)]]*Table11232[[#This Row],[d (mm)]]*Table11232[[#This Row],[L(mm)]])</f>
        <v>6.8850000000000009E-4</v>
      </c>
      <c r="Q28" s="8">
        <f>Table11232[[#This Row],[M (KN.mm)]]/(Table11232[[#This Row],[b (mm)]]*Table11232[[#This Row],[h (mm)]]*Table11232[[#This Row],[L(mm)]]*Table11232[[#This Row],[fc (Mpa)]])</f>
        <v>9.9934416118421068E-6</v>
      </c>
      <c r="R28" s="8">
        <f>Table11232[[#This Row],[M (KN.mm)]]/(Table11232[[#This Row],[b (mm)]]*Table11232[[#This Row],[h (mm)]]*Table11232[[#This Row],[L(mm)]]/2)</f>
        <v>1.2152025E-3</v>
      </c>
      <c r="S28" s="8">
        <f>Table11232[[#This Row],[M (KN.mm)]]/(Table11232[[#This Row],[a (mm)]]*Table11232[[#This Row],[b (mm)]]*Table11232[[#This Row],[h (mm)]]*Table11232[[#This Row],[L(mm)]]/2)</f>
        <v>1.125E-6</v>
      </c>
      <c r="T28" s="8">
        <f>G28/($AN$5*AK28*0.001*Table11232[[#This Row],[pho (%)]])</f>
        <v>1.9731301875616927E-6</v>
      </c>
      <c r="U28" s="8">
        <f>Table11232[[#This Row],[M (KN.mm)]]/(Table11232[[#This Row],[b (mm)]]*Table11232[[#This Row],[d (mm)]]*Table11232[[#This Row],[pho (%)]])</f>
        <v>0.78513157894736851</v>
      </c>
      <c r="V28" s="8">
        <f>E28*224.8/(2*SQRT(Table11232[[#This Row],[fc (Mpa)]]*145.037)*Table11232[[#This Row],[b (mm)]]*Table11232[[#This Row],[d (mm)]]*(1/25.4)^2)</f>
        <v>1.2797457958255289</v>
      </c>
      <c r="W28" s="8">
        <f>Table11232[[#This Row],[M (KN.mm)]]/$G$31</f>
        <v>0.65</v>
      </c>
      <c r="X28" s="8">
        <f>E28*224.8/(2*SQRT(Table11232[[#This Row],[fc (Mpa)]]*145.037)*Table11232[[#This Row],[b (mm)]]*Table11232[[#This Row],[d (mm)]]*(1/25.4)^2+Table11232[[#This Row],[Av fy d/s (N)]]*0.2248)</f>
        <v>0.81158354963254187</v>
      </c>
      <c r="Y28" s="15">
        <v>0.747</v>
      </c>
      <c r="Z28" s="8">
        <f>Table11232[[#This Row],[Av fy/(b S) (Mpa)]]*Table11232[[#This Row],[d (mm)]]*Table11232[[#This Row],[b (mm)]]</f>
        <v>52738.2</v>
      </c>
      <c r="AA28" s="8">
        <f>Table11232[[#This Row],[d (mm)]]/260</f>
        <v>1.3576923076923078</v>
      </c>
      <c r="AB28" s="8">
        <f>Table11232[[#This Row],[a/d]]*Table11232[[#This Row],[d]]</f>
        <v>1080.18</v>
      </c>
      <c r="AC28" s="8">
        <f>Table11232[[#This Row],[d]]</f>
        <v>353</v>
      </c>
      <c r="AD28" s="8">
        <v>400</v>
      </c>
      <c r="AE28" s="5">
        <v>200</v>
      </c>
      <c r="AF28" s="1">
        <v>60.8</v>
      </c>
      <c r="AG28" s="8">
        <f>Table11232[[#This Row],[pho (%)]]/100*Table11232[[#This Row],[b (mm)]]*Table11232[[#This Row],[d (mm)]]</f>
        <v>1609.6799999999998</v>
      </c>
      <c r="AH28" s="1">
        <v>2.2799999999999998</v>
      </c>
      <c r="AI28" s="8">
        <v>500</v>
      </c>
      <c r="AJ28" s="8">
        <f>(1/3-0.21*(MIN(Table11232[[#This Row],[b (mm)]],AD28)/MAX(Table11232[[#This Row],[b (mm)]],AD28))*(MIN(Table11232[[#This Row],[b (mm)]],AD28)^4/(12*MAX(Table11232[[#This Row],[b (mm)]],AD28)^4)))*MAX(Table11232[[#This Row],[b (mm)]],AD28)*MIN(Table11232[[#This Row],[b (mm)]],AD28)^3</f>
        <v>1064916666.6666665</v>
      </c>
      <c r="AK28" s="8">
        <f>Table11232[[#This Row],[b (mm)]]*AD28^3/12</f>
        <v>1066666666.6666666</v>
      </c>
      <c r="AL28" s="8">
        <v>2600</v>
      </c>
      <c r="AM28" s="12"/>
      <c r="AN28" s="12"/>
      <c r="AO28" s="12"/>
      <c r="AP28" s="1"/>
    </row>
    <row r="29" spans="1:42" s="10" customFormat="1" x14ac:dyDescent="0.25">
      <c r="A29" s="33" t="s">
        <v>138</v>
      </c>
      <c r="B29" s="15">
        <v>5</v>
      </c>
      <c r="C29" s="3">
        <v>28</v>
      </c>
      <c r="D29" s="15">
        <v>3.06</v>
      </c>
      <c r="E29" s="15">
        <v>140</v>
      </c>
      <c r="F29" s="15">
        <v>353</v>
      </c>
      <c r="G29" s="8">
        <f t="shared" si="12"/>
        <v>151225.20000000001</v>
      </c>
      <c r="H29" s="8">
        <f t="shared" si="13"/>
        <v>5.3831038963221553E-6</v>
      </c>
      <c r="I29" s="8">
        <f>G29/(Table11232[[#This Row],[b (mm)]]*AC29^2)</f>
        <v>6.0679886685552414E-3</v>
      </c>
      <c r="J29" s="8">
        <f t="shared" si="14"/>
        <v>0.53227970776800371</v>
      </c>
      <c r="K29" s="8">
        <f t="shared" si="15"/>
        <v>4.1868052831501528E-6</v>
      </c>
      <c r="L29" s="8">
        <f>E29/(Table11232[[#This Row],[b (mm)]]*AC29)</f>
        <v>1.9830028328611899E-3</v>
      </c>
      <c r="M29" s="8">
        <f>Table11232[[#This Row],[M (KN.mm)]]/(Table11232[[#This Row],[b (mm)]]*Table11232[[#This Row],[d (mm)]])</f>
        <v>2.1420000000000003</v>
      </c>
      <c r="N29" s="8">
        <f>Table11232[[#This Row],[M (KN.mm)]]/(Table11232[[#This Row],[b (mm)]]*Table11232[[#This Row],[h (mm)]])</f>
        <v>1.8903150000000002</v>
      </c>
      <c r="O29" s="8">
        <f>Table11232[[#This Row],[M (KN.mm)]]/(Table11232[[#This Row],[b (mm)]]*Table11232[[#This Row],[h (mm)]]*Table11232[[#This Row],[L(mm)]])</f>
        <v>7.2704423076923081E-4</v>
      </c>
      <c r="P29" s="8">
        <f>Table11232[[#This Row],[M (KN.mm)]]/(Table11232[[#This Row],[b (mm)]]*Table11232[[#This Row],[d (mm)]]*Table11232[[#This Row],[L(mm)]])</f>
        <v>8.2384615384615396E-4</v>
      </c>
      <c r="Q29" s="8">
        <f>Table11232[[#This Row],[M (KN.mm)]]/(Table11232[[#This Row],[b (mm)]]*Table11232[[#This Row],[h (mm)]]*Table11232[[#This Row],[L(mm)]]*Table11232[[#This Row],[fc (Mpa)]])</f>
        <v>1.1957964321862348E-5</v>
      </c>
      <c r="R29" s="8">
        <f>Table11232[[#This Row],[M (KN.mm)]]/(Table11232[[#This Row],[b (mm)]]*Table11232[[#This Row],[h (mm)]]*Table11232[[#This Row],[L(mm)]]/2)</f>
        <v>1.4540884615384616E-3</v>
      </c>
      <c r="S29" s="8">
        <f>Table11232[[#This Row],[M (KN.mm)]]/(Table11232[[#This Row],[a (mm)]]*Table11232[[#This Row],[b (mm)]]*Table11232[[#This Row],[h (mm)]]*Table11232[[#This Row],[L(mm)]]/2)</f>
        <v>1.3461538461538462E-6</v>
      </c>
      <c r="T29" s="8">
        <f>G29/($AN$5*AK29*0.001*Table11232[[#This Row],[pho (%)]])</f>
        <v>2.3610104808430509E-6</v>
      </c>
      <c r="U29" s="8">
        <f>Table11232[[#This Row],[M (KN.mm)]]/(Table11232[[#This Row],[b (mm)]]*Table11232[[#This Row],[d (mm)]]*Table11232[[#This Row],[pho (%)]])</f>
        <v>0.93947368421052635</v>
      </c>
      <c r="V29" s="8">
        <f>E29*224.8/(2*SQRT(Table11232[[#This Row],[fc (Mpa)]]*145.037)*Table11232[[#This Row],[b (mm)]]*Table11232[[#This Row],[d (mm)]]*(1/25.4)^2)</f>
        <v>1.5313197556886671</v>
      </c>
      <c r="W29" s="8">
        <f>Table11232[[#This Row],[M (KN.mm)]]/$G$31</f>
        <v>0.77777777777777779</v>
      </c>
      <c r="X29" s="8">
        <f>E29*224.8/(2*SQRT(Table11232[[#This Row],[fc (Mpa)]]*145.037)*Table11232[[#This Row],[b (mm)]]*Table11232[[#This Row],[d (mm)]]*(1/25.4)^2+Table11232[[#This Row],[Av fy d/s (N)]]*0.2248)</f>
        <v>0.97112561494492189</v>
      </c>
      <c r="Y29" s="15">
        <v>0.747</v>
      </c>
      <c r="Z29" s="8">
        <f>Table11232[[#This Row],[Av fy/(b S) (Mpa)]]*Table11232[[#This Row],[d (mm)]]*Table11232[[#This Row],[b (mm)]]</f>
        <v>52738.2</v>
      </c>
      <c r="AA29" s="8">
        <f>Table11232[[#This Row],[d (mm)]]/260</f>
        <v>1.3576923076923078</v>
      </c>
      <c r="AB29" s="8">
        <f>Table11232[[#This Row],[a/d]]*Table11232[[#This Row],[d]]</f>
        <v>1080.18</v>
      </c>
      <c r="AC29" s="8">
        <f>Table11232[[#This Row],[d]]</f>
        <v>353</v>
      </c>
      <c r="AD29" s="8">
        <v>400</v>
      </c>
      <c r="AE29" s="5">
        <v>200</v>
      </c>
      <c r="AF29" s="1">
        <v>60.8</v>
      </c>
      <c r="AG29" s="8">
        <f>Table11232[[#This Row],[pho (%)]]/100*Table11232[[#This Row],[b (mm)]]*Table11232[[#This Row],[d (mm)]]</f>
        <v>1609.6799999999998</v>
      </c>
      <c r="AH29" s="1">
        <v>2.2799999999999998</v>
      </c>
      <c r="AI29" s="8">
        <v>500</v>
      </c>
      <c r="AJ29" s="8">
        <f>(1/3-0.21*(MIN(Table11232[[#This Row],[b (mm)]],AD29)/MAX(Table11232[[#This Row],[b (mm)]],AD29))*(MIN(Table11232[[#This Row],[b (mm)]],AD29)^4/(12*MAX(Table11232[[#This Row],[b (mm)]],AD29)^4)))*MAX(Table11232[[#This Row],[b (mm)]],AD29)*MIN(Table11232[[#This Row],[b (mm)]],AD29)^3</f>
        <v>1064916666.6666665</v>
      </c>
      <c r="AK29" s="8">
        <f>Table11232[[#This Row],[b (mm)]]*AD29^3/12</f>
        <v>1066666666.6666666</v>
      </c>
      <c r="AL29" s="8">
        <v>2600</v>
      </c>
      <c r="AM29" s="12"/>
      <c r="AN29" s="12"/>
      <c r="AO29" s="12"/>
      <c r="AP29" s="1"/>
    </row>
    <row r="30" spans="1:42" s="10" customFormat="1" x14ac:dyDescent="0.25">
      <c r="A30" s="33" t="s">
        <v>138</v>
      </c>
      <c r="B30" s="15">
        <v>6</v>
      </c>
      <c r="C30" s="3">
        <v>29</v>
      </c>
      <c r="D30" s="15">
        <v>3.06</v>
      </c>
      <c r="E30" s="15">
        <v>162</v>
      </c>
      <c r="F30" s="15">
        <v>353</v>
      </c>
      <c r="G30" s="8">
        <f t="shared" si="12"/>
        <v>174989.16</v>
      </c>
      <c r="H30" s="8">
        <f t="shared" si="13"/>
        <v>6.2290202228870653E-6</v>
      </c>
      <c r="I30" s="8">
        <f>G30/(Table11232[[#This Row],[b (mm)]]*AC30^2)</f>
        <v>7.0215297450424933E-3</v>
      </c>
      <c r="J30" s="8">
        <f t="shared" si="14"/>
        <v>0.6159236618458328</v>
      </c>
      <c r="K30" s="8">
        <f t="shared" si="15"/>
        <v>4.8447318276451773E-6</v>
      </c>
      <c r="L30" s="8">
        <f>E30/(Table11232[[#This Row],[b (mm)]]*AC30)</f>
        <v>2.2946175637393769E-3</v>
      </c>
      <c r="M30" s="8">
        <f>Table11232[[#This Row],[M (KN.mm)]]/(Table11232[[#This Row],[b (mm)]]*Table11232[[#This Row],[d (mm)]])</f>
        <v>2.4786000000000001</v>
      </c>
      <c r="N30" s="8">
        <f>Table11232[[#This Row],[M (KN.mm)]]/(Table11232[[#This Row],[b (mm)]]*Table11232[[#This Row],[h (mm)]])</f>
        <v>2.1873645000000002</v>
      </c>
      <c r="O30" s="8">
        <f>Table11232[[#This Row],[M (KN.mm)]]/(Table11232[[#This Row],[b (mm)]]*Table11232[[#This Row],[h (mm)]]*Table11232[[#This Row],[L(mm)]])</f>
        <v>8.4129403846153845E-4</v>
      </c>
      <c r="P30" s="8">
        <f>Table11232[[#This Row],[M (KN.mm)]]/(Table11232[[#This Row],[b (mm)]]*Table11232[[#This Row],[d (mm)]]*Table11232[[#This Row],[L(mm)]])</f>
        <v>9.5330769230769232E-4</v>
      </c>
      <c r="Q30" s="8">
        <f>Table11232[[#This Row],[M (KN.mm)]]/(Table11232[[#This Row],[b (mm)]]*Table11232[[#This Row],[h (mm)]]*Table11232[[#This Row],[L(mm)]]*Table11232[[#This Row],[fc (Mpa)]])</f>
        <v>1.3837073001012146E-5</v>
      </c>
      <c r="R30" s="8">
        <f>Table11232[[#This Row],[M (KN.mm)]]/(Table11232[[#This Row],[b (mm)]]*Table11232[[#This Row],[h (mm)]]*Table11232[[#This Row],[L(mm)]]/2)</f>
        <v>1.6825880769230769E-3</v>
      </c>
      <c r="S30" s="8">
        <f>Table11232[[#This Row],[M (KN.mm)]]/(Table11232[[#This Row],[a (mm)]]*Table11232[[#This Row],[b (mm)]]*Table11232[[#This Row],[h (mm)]]*Table11232[[#This Row],[L(mm)]]/2)</f>
        <v>1.5576923076923076E-6</v>
      </c>
      <c r="T30" s="8">
        <f>G30/($AN$5*AK30*0.001*Table11232[[#This Row],[pho (%)]])</f>
        <v>2.7320264135469587E-6</v>
      </c>
      <c r="U30" s="8">
        <f>Table11232[[#This Row],[M (KN.mm)]]/(Table11232[[#This Row],[b (mm)]]*Table11232[[#This Row],[d (mm)]]*Table11232[[#This Row],[pho (%)]])</f>
        <v>1.0871052631578948</v>
      </c>
      <c r="V30" s="8">
        <f>E30*224.8/(2*SQRT(Table11232[[#This Row],[fc (Mpa)]]*145.037)*Table11232[[#This Row],[b (mm)]]*Table11232[[#This Row],[d (mm)]]*(1/25.4)^2)</f>
        <v>1.7719557172968861</v>
      </c>
      <c r="W30" s="8">
        <f>Table11232[[#This Row],[M (KN.mm)]]/$G$31</f>
        <v>0.89999999999999991</v>
      </c>
      <c r="X30" s="8">
        <f>E30*224.8/(2*SQRT(Table11232[[#This Row],[fc (Mpa)]]*145.037)*Table11232[[#This Row],[b (mm)]]*Table11232[[#This Row],[d (mm)]]*(1/25.4)^2+Table11232[[#This Row],[Av fy d/s (N)]]*0.2248)</f>
        <v>1.123731068721981</v>
      </c>
      <c r="Y30" s="15">
        <v>0.747</v>
      </c>
      <c r="Z30" s="8">
        <f>Table11232[[#This Row],[Av fy/(b S) (Mpa)]]*Table11232[[#This Row],[d (mm)]]*Table11232[[#This Row],[b (mm)]]</f>
        <v>52738.2</v>
      </c>
      <c r="AA30" s="8">
        <f>Table11232[[#This Row],[d (mm)]]/260</f>
        <v>1.3576923076923078</v>
      </c>
      <c r="AB30" s="8">
        <f>Table11232[[#This Row],[a/d]]*Table11232[[#This Row],[d]]</f>
        <v>1080.18</v>
      </c>
      <c r="AC30" s="8">
        <f>Table11232[[#This Row],[d]]</f>
        <v>353</v>
      </c>
      <c r="AD30" s="8">
        <v>400</v>
      </c>
      <c r="AE30" s="5">
        <v>200</v>
      </c>
      <c r="AF30" s="1">
        <v>60.8</v>
      </c>
      <c r="AG30" s="8">
        <f>Table11232[[#This Row],[pho (%)]]/100*Table11232[[#This Row],[b (mm)]]*Table11232[[#This Row],[d (mm)]]</f>
        <v>1609.6799999999998</v>
      </c>
      <c r="AH30" s="1">
        <v>2.2799999999999998</v>
      </c>
      <c r="AI30" s="8">
        <v>500</v>
      </c>
      <c r="AJ30" s="8">
        <f>(1/3-0.21*(MIN(Table11232[[#This Row],[b (mm)]],AD30)/MAX(Table11232[[#This Row],[b (mm)]],AD30))*(MIN(Table11232[[#This Row],[b (mm)]],AD30)^4/(12*MAX(Table11232[[#This Row],[b (mm)]],AD30)^4)))*MAX(Table11232[[#This Row],[b (mm)]],AD30)*MIN(Table11232[[#This Row],[b (mm)]],AD30)^3</f>
        <v>1064916666.6666665</v>
      </c>
      <c r="AK30" s="8">
        <f>Table11232[[#This Row],[b (mm)]]*AD30^3/12</f>
        <v>1066666666.6666666</v>
      </c>
      <c r="AL30" s="8">
        <v>2600</v>
      </c>
      <c r="AM30" s="12"/>
      <c r="AN30" s="12"/>
      <c r="AO30" s="12"/>
      <c r="AP30" s="1"/>
    </row>
    <row r="31" spans="1:42" x14ac:dyDescent="0.25">
      <c r="A31" s="33" t="s">
        <v>138</v>
      </c>
      <c r="B31" s="15">
        <v>7</v>
      </c>
      <c r="C31" s="3">
        <v>30</v>
      </c>
      <c r="D31" s="15">
        <v>3.06</v>
      </c>
      <c r="E31" s="15">
        <v>180</v>
      </c>
      <c r="F31" s="15">
        <v>353</v>
      </c>
      <c r="G31" s="8">
        <f t="shared" si="12"/>
        <v>194432.40000000002</v>
      </c>
      <c r="H31" s="8">
        <f t="shared" si="13"/>
        <v>6.9211335809856287E-6</v>
      </c>
      <c r="I31" s="8">
        <f>G31/(Table11232[[#This Row],[b (mm)]]*AC31^2)</f>
        <v>7.8016997167138823E-3</v>
      </c>
      <c r="J31" s="8">
        <f t="shared" si="14"/>
        <v>0.68435962427314767</v>
      </c>
      <c r="K31" s="8">
        <f t="shared" si="15"/>
        <v>5.3830353640501968E-6</v>
      </c>
      <c r="L31" s="8">
        <f>E31/(Table11232[[#This Row],[b (mm)]]*AC31)</f>
        <v>2.5495750708215297E-3</v>
      </c>
      <c r="M31" s="8">
        <f>Table11232[[#This Row],[M (KN.mm)]]/(Table11232[[#This Row],[b (mm)]]*Table11232[[#This Row],[d (mm)]])</f>
        <v>2.7540000000000004</v>
      </c>
      <c r="N31" s="8">
        <f>Table11232[[#This Row],[M (KN.mm)]]/(Table11232[[#This Row],[b (mm)]]*Table11232[[#This Row],[h (mm)]])</f>
        <v>2.4304050000000004</v>
      </c>
      <c r="O31" s="8">
        <f>Table11232[[#This Row],[M (KN.mm)]]/(Table11232[[#This Row],[b (mm)]]*Table11232[[#This Row],[h (mm)]]*Table11232[[#This Row],[L(mm)]])</f>
        <v>9.3477115384615395E-4</v>
      </c>
      <c r="P31" s="8">
        <f>Table11232[[#This Row],[M (KN.mm)]]/(Table11232[[#This Row],[b (mm)]]*Table11232[[#This Row],[d (mm)]]*Table11232[[#This Row],[L(mm)]])</f>
        <v>1.0592307692307693E-3</v>
      </c>
      <c r="Q31" s="8">
        <f>Table11232[[#This Row],[M (KN.mm)]]/(Table11232[[#This Row],[b (mm)]]*Table11232[[#This Row],[h (mm)]]*Table11232[[#This Row],[L(mm)]]*Table11232[[#This Row],[fc (Mpa)]])</f>
        <v>1.5374525556680165E-5</v>
      </c>
      <c r="R31" s="8">
        <f>Table11232[[#This Row],[M (KN.mm)]]/(Table11232[[#This Row],[b (mm)]]*Table11232[[#This Row],[h (mm)]]*Table11232[[#This Row],[L(mm)]]/2)</f>
        <v>1.8695423076923079E-3</v>
      </c>
      <c r="S31" s="8">
        <f>Table11232[[#This Row],[M (KN.mm)]]/(Table11232[[#This Row],[a (mm)]]*Table11232[[#This Row],[b (mm)]]*Table11232[[#This Row],[h (mm)]]*Table11232[[#This Row],[L(mm)]]/2)</f>
        <v>1.7307692307692311E-6</v>
      </c>
      <c r="T31" s="8">
        <f>G31/($AN$5*AK31*0.001*Table11232[[#This Row],[pho (%)]])</f>
        <v>3.0355849039410656E-6</v>
      </c>
      <c r="U31" s="8">
        <f>Table11232[[#This Row],[M (KN.mm)]]/(Table11232[[#This Row],[b (mm)]]*Table11232[[#This Row],[d (mm)]]*Table11232[[#This Row],[pho (%)]])</f>
        <v>1.2078947368421054</v>
      </c>
      <c r="V31" s="8">
        <f>E31*224.8/(2*SQRT(Table11232[[#This Row],[fc (Mpa)]]*145.037)*Table11232[[#This Row],[b (mm)]]*Table11232[[#This Row],[d (mm)]]*(1/25.4)^2)</f>
        <v>1.9688396858854291</v>
      </c>
      <c r="W31" s="8">
        <f>Table11232[[#This Row],[M (KN.mm)]]/$G$31</f>
        <v>1</v>
      </c>
      <c r="X31" s="8">
        <f>E31*224.8/(2*SQRT(Table11232[[#This Row],[fc (Mpa)]]*145.037)*Table11232[[#This Row],[b (mm)]]*Table11232[[#This Row],[d (mm)]]*(1/25.4)^2+Table11232[[#This Row],[Av fy d/s (N)]]*0.2248)</f>
        <v>1.2485900763577567</v>
      </c>
      <c r="Y31" s="15">
        <v>0.747</v>
      </c>
      <c r="Z31" s="8">
        <f>Table11232[[#This Row],[Av fy/(b S) (Mpa)]]*Table11232[[#This Row],[d (mm)]]*Table11232[[#This Row],[b (mm)]]</f>
        <v>52738.2</v>
      </c>
      <c r="AA31" s="8">
        <f>Table11232[[#This Row],[d (mm)]]/260</f>
        <v>1.3576923076923078</v>
      </c>
      <c r="AB31" s="8">
        <f>Table11232[[#This Row],[a/d]]*Table11232[[#This Row],[d]]</f>
        <v>1080.18</v>
      </c>
      <c r="AC31" s="8">
        <f>Table11232[[#This Row],[d]]</f>
        <v>353</v>
      </c>
      <c r="AD31" s="8">
        <v>400</v>
      </c>
      <c r="AE31" s="5">
        <v>200</v>
      </c>
      <c r="AF31" s="1">
        <v>60.8</v>
      </c>
      <c r="AG31" s="8">
        <f>Table11232[[#This Row],[pho (%)]]/100*Table11232[[#This Row],[b (mm)]]*Table11232[[#This Row],[d (mm)]]</f>
        <v>1609.6799999999998</v>
      </c>
      <c r="AH31" s="1">
        <v>2.2799999999999998</v>
      </c>
      <c r="AI31" s="8">
        <v>500</v>
      </c>
      <c r="AJ31" s="8">
        <f>(1/3-0.21*(MIN(Table11232[[#This Row],[b (mm)]],AD31)/MAX(Table11232[[#This Row],[b (mm)]],AD31))*(MIN(Table11232[[#This Row],[b (mm)]],AD31)^4/(12*MAX(Table11232[[#This Row],[b (mm)]],AD31)^4)))*MAX(Table11232[[#This Row],[b (mm)]],AD31)*MIN(Table11232[[#This Row],[b (mm)]],AD31)^3</f>
        <v>1064916666.6666665</v>
      </c>
      <c r="AK31" s="8">
        <f>Table11232[[#This Row],[b (mm)]]*AD31^3/12</f>
        <v>1066666666.6666666</v>
      </c>
      <c r="AL31" s="8">
        <v>2600</v>
      </c>
      <c r="AM31" s="1"/>
      <c r="AN31" s="1"/>
    </row>
    <row r="32" spans="1:42" x14ac:dyDescent="0.25">
      <c r="A32" s="57" t="s">
        <v>139</v>
      </c>
      <c r="B32" s="15">
        <v>1</v>
      </c>
      <c r="C32" s="3">
        <v>31</v>
      </c>
      <c r="D32" s="15">
        <v>3.08</v>
      </c>
      <c r="E32" s="15">
        <v>50</v>
      </c>
      <c r="F32" s="15">
        <v>351</v>
      </c>
      <c r="G32" s="8">
        <f t="shared" ref="G32:G38" si="16">E32*AB32</f>
        <v>54054</v>
      </c>
      <c r="H32" s="8">
        <f t="shared" ref="H32:H38" si="17">G32/($AN$5*AK32*0.001)</f>
        <v>1.9241389531096519E-6</v>
      </c>
      <c r="I32" s="8">
        <f>G32/(Table11232[[#This Row],[b (mm)]]*AC32^2)</f>
        <v>2.1937321937321938E-3</v>
      </c>
      <c r="J32" s="8">
        <f t="shared" ref="J32:J38" si="18">G32/(AG32*AI32*AC32*0.001)</f>
        <v>0.19159233133032261</v>
      </c>
      <c r="K32" s="8">
        <f t="shared" ref="K32:K38" si="19">E32/($AN$4*AJ32*0.001)</f>
        <v>1.4952876011250546E-6</v>
      </c>
      <c r="L32" s="8">
        <f>E32/(Table11232[[#This Row],[b (mm)]]*AC32)</f>
        <v>7.1225071225071229E-4</v>
      </c>
      <c r="M32" s="8">
        <f>Table11232[[#This Row],[M (KN.mm)]]/(Table11232[[#This Row],[b (mm)]]*Table11232[[#This Row],[d (mm)]])</f>
        <v>0.77</v>
      </c>
      <c r="N32" s="8">
        <f>Table11232[[#This Row],[M (KN.mm)]]/(Table11232[[#This Row],[b (mm)]]*Table11232[[#This Row],[h (mm)]])</f>
        <v>0.67567500000000003</v>
      </c>
      <c r="O32" s="8">
        <f>Table11232[[#This Row],[M (KN.mm)]]/(Table11232[[#This Row],[b (mm)]]*Table11232[[#This Row],[h (mm)]]*Table11232[[#This Row],[L(mm)]])</f>
        <v>2.5987500000000001E-4</v>
      </c>
      <c r="P32" s="8">
        <f>Table11232[[#This Row],[M (KN.mm)]]/(Table11232[[#This Row],[b (mm)]]*Table11232[[#This Row],[d (mm)]]*Table11232[[#This Row],[L(mm)]])</f>
        <v>2.9615384615384616E-4</v>
      </c>
      <c r="Q32" s="8">
        <f>Table11232[[#This Row],[M (KN.mm)]]/(Table11232[[#This Row],[b (mm)]]*Table11232[[#This Row],[h (mm)]]*Table11232[[#This Row],[L(mm)]]*Table11232[[#This Row],[fc (Mpa)]])</f>
        <v>4.2742598684210529E-6</v>
      </c>
      <c r="R32" s="8">
        <f>Table11232[[#This Row],[M (KN.mm)]]/(Table11232[[#This Row],[b (mm)]]*Table11232[[#This Row],[h (mm)]]*Table11232[[#This Row],[L(mm)]]/2)</f>
        <v>5.1975000000000003E-4</v>
      </c>
      <c r="S32" s="8">
        <f>Table11232[[#This Row],[M (KN.mm)]]/(Table11232[[#This Row],[a (mm)]]*Table11232[[#This Row],[b (mm)]]*Table11232[[#This Row],[h (mm)]]*Table11232[[#This Row],[L(mm)]]/2)</f>
        <v>4.8076923076923074E-7</v>
      </c>
      <c r="T32" s="8">
        <f>G32/($AN$5*AK32*0.001*Table11232[[#This Row],[pho (%)]])</f>
        <v>8.4023535070290482E-7</v>
      </c>
      <c r="U32" s="8">
        <f>Table11232[[#This Row],[M (KN.mm)]]/(Table11232[[#This Row],[b (mm)]]*Table11232[[#This Row],[d (mm)]]*Table11232[[#This Row],[pho (%)]])</f>
        <v>0.33624454148471616</v>
      </c>
      <c r="V32" s="8">
        <f>E32*224.8/(2*SQRT(Table11232[[#This Row],[fc (Mpa)]]*145.037)*Table11232[[#This Row],[b (mm)]]*Table11232[[#This Row],[d (mm)]]*(1/25.4)^2)</f>
        <v>0.55001615156501782</v>
      </c>
      <c r="W32" s="8">
        <f>Table11232[[#This Row],[M (KN.mm)]]/$G$38</f>
        <v>0.19379844961240314</v>
      </c>
      <c r="X32" s="8">
        <f>E32*224.8/(2*SQRT(Table11232[[#This Row],[fc (Mpa)]]*145.037)*Table11232[[#This Row],[b (mm)]]*Table11232[[#This Row],[d (mm)]]*(1/25.4)^2+Table11232[[#This Row],[Av fy d/s (N)]]*0.2248)</f>
        <v>0.27800972854213846</v>
      </c>
      <c r="Y32" s="15">
        <v>1.2669999999999999</v>
      </c>
      <c r="Z32" s="8">
        <f>Table11232[[#This Row],[Av fy/(b S) (Mpa)]]*Table11232[[#This Row],[d (mm)]]*Table11232[[#This Row],[b (mm)]]</f>
        <v>88943.4</v>
      </c>
      <c r="AA32" s="8">
        <f>Table11232[[#This Row],[d (mm)]]/260</f>
        <v>1.35</v>
      </c>
      <c r="AB32" s="8">
        <f>Table11232[[#This Row],[a/d]]*Table11232[[#This Row],[d]]</f>
        <v>1081.08</v>
      </c>
      <c r="AC32" s="8">
        <f>Table11232[[#This Row],[d]]</f>
        <v>351</v>
      </c>
      <c r="AD32" s="8">
        <v>400</v>
      </c>
      <c r="AE32" s="5">
        <v>200</v>
      </c>
      <c r="AF32" s="1">
        <v>60.8</v>
      </c>
      <c r="AG32" s="8">
        <f>Table11232[[#This Row],[pho (%)]]/100*Table11232[[#This Row],[b (mm)]]*Table11232[[#This Row],[d (mm)]]</f>
        <v>1607.58</v>
      </c>
      <c r="AH32" s="1">
        <v>2.29</v>
      </c>
      <c r="AI32" s="8">
        <v>500</v>
      </c>
      <c r="AJ32" s="8">
        <f>(1/3-0.21*(MIN(Table11232[[#This Row],[b (mm)]],AD32)/MAX(Table11232[[#This Row],[b (mm)]],AD32))*(MIN(Table11232[[#This Row],[b (mm)]],AD32)^4/(12*MAX(Table11232[[#This Row],[b (mm)]],AD32)^4)))*MAX(Table11232[[#This Row],[b (mm)]],AD32)*MIN(Table11232[[#This Row],[b (mm)]],AD32)^3</f>
        <v>1064916666.6666665</v>
      </c>
      <c r="AK32" s="8">
        <f>Table11232[[#This Row],[b (mm)]]*AD32^3/12</f>
        <v>1066666666.6666666</v>
      </c>
      <c r="AL32" s="8">
        <v>2600</v>
      </c>
      <c r="AM32" s="1"/>
      <c r="AN32" s="1"/>
    </row>
    <row r="33" spans="1:38" s="1" customFormat="1" x14ac:dyDescent="0.25">
      <c r="A33" s="57" t="s">
        <v>139</v>
      </c>
      <c r="B33" s="15">
        <v>2</v>
      </c>
      <c r="C33" s="3">
        <v>32</v>
      </c>
      <c r="D33" s="15">
        <v>3.08</v>
      </c>
      <c r="E33" s="15">
        <v>80</v>
      </c>
      <c r="F33" s="15">
        <v>351</v>
      </c>
      <c r="G33" s="8">
        <f t="shared" si="16"/>
        <v>86486.399999999994</v>
      </c>
      <c r="H33" s="8">
        <f t="shared" si="17"/>
        <v>3.0786223249754433E-6</v>
      </c>
      <c r="I33" s="8">
        <f>G33/(Table11232[[#This Row],[b (mm)]]*AC33^2)</f>
        <v>3.5099715099715097E-3</v>
      </c>
      <c r="J33" s="8">
        <f t="shared" si="18"/>
        <v>0.30654773012851616</v>
      </c>
      <c r="K33" s="8">
        <f t="shared" si="19"/>
        <v>2.3924601618000872E-6</v>
      </c>
      <c r="L33" s="8">
        <f>E33/(Table11232[[#This Row],[b (mm)]]*AC33)</f>
        <v>1.1396011396011395E-3</v>
      </c>
      <c r="M33" s="8">
        <f>Table11232[[#This Row],[M (KN.mm)]]/(Table11232[[#This Row],[b (mm)]]*Table11232[[#This Row],[d (mm)]])</f>
        <v>1.232</v>
      </c>
      <c r="N33" s="8">
        <f>Table11232[[#This Row],[M (KN.mm)]]/(Table11232[[#This Row],[b (mm)]]*Table11232[[#This Row],[h (mm)]])</f>
        <v>1.0810799999999998</v>
      </c>
      <c r="O33" s="8">
        <f>Table11232[[#This Row],[M (KN.mm)]]/(Table11232[[#This Row],[b (mm)]]*Table11232[[#This Row],[h (mm)]]*Table11232[[#This Row],[L(mm)]])</f>
        <v>4.1579999999999997E-4</v>
      </c>
      <c r="P33" s="8">
        <f>Table11232[[#This Row],[M (KN.mm)]]/(Table11232[[#This Row],[b (mm)]]*Table11232[[#This Row],[d (mm)]]*Table11232[[#This Row],[L(mm)]])</f>
        <v>4.738461538461538E-4</v>
      </c>
      <c r="Q33" s="8">
        <f>Table11232[[#This Row],[M (KN.mm)]]/(Table11232[[#This Row],[b (mm)]]*Table11232[[#This Row],[h (mm)]]*Table11232[[#This Row],[L(mm)]]*Table11232[[#This Row],[fc (Mpa)]])</f>
        <v>6.8388157894736838E-6</v>
      </c>
      <c r="R33" s="8">
        <f>Table11232[[#This Row],[M (KN.mm)]]/(Table11232[[#This Row],[b (mm)]]*Table11232[[#This Row],[h (mm)]]*Table11232[[#This Row],[L(mm)]]/2)</f>
        <v>8.3159999999999994E-4</v>
      </c>
      <c r="S33" s="8">
        <f>Table11232[[#This Row],[M (KN.mm)]]/(Table11232[[#This Row],[a (mm)]]*Table11232[[#This Row],[b (mm)]]*Table11232[[#This Row],[h (mm)]]*Table11232[[#This Row],[L(mm)]]/2)</f>
        <v>7.6923076923076915E-7</v>
      </c>
      <c r="T33" s="8">
        <f>G33/($AN$5*AK33*0.001*Table11232[[#This Row],[pho (%)]])</f>
        <v>1.3443765611246477E-6</v>
      </c>
      <c r="U33" s="8">
        <f>Table11232[[#This Row],[M (KN.mm)]]/(Table11232[[#This Row],[b (mm)]]*Table11232[[#This Row],[d (mm)]]*Table11232[[#This Row],[pho (%)]])</f>
        <v>0.53799126637554584</v>
      </c>
      <c r="V33" s="8">
        <f>E33*224.8/(2*SQRT(Table11232[[#This Row],[fc (Mpa)]]*145.037)*Table11232[[#This Row],[b (mm)]]*Table11232[[#This Row],[d (mm)]]*(1/25.4)^2)</f>
        <v>0.88002584250402838</v>
      </c>
      <c r="W33" s="8">
        <f>Table11232[[#This Row],[M (KN.mm)]]/$G$38</f>
        <v>0.31007751937984501</v>
      </c>
      <c r="X33" s="8">
        <f>E33*224.8/(2*SQRT(Table11232[[#This Row],[fc (Mpa)]]*145.037)*Table11232[[#This Row],[b (mm)]]*Table11232[[#This Row],[d (mm)]]*(1/25.4)^2+Table11232[[#This Row],[Av fy d/s (N)]]*0.2248)</f>
        <v>0.44481556566742148</v>
      </c>
      <c r="Y33" s="15">
        <v>1.2669999999999999</v>
      </c>
      <c r="Z33" s="8">
        <f>Table11232[[#This Row],[Av fy/(b S) (Mpa)]]*Table11232[[#This Row],[d (mm)]]*Table11232[[#This Row],[b (mm)]]</f>
        <v>88943.4</v>
      </c>
      <c r="AA33" s="8">
        <f>Table11232[[#This Row],[d (mm)]]/260</f>
        <v>1.35</v>
      </c>
      <c r="AB33" s="8">
        <f>Table11232[[#This Row],[a/d]]*Table11232[[#This Row],[d]]</f>
        <v>1081.08</v>
      </c>
      <c r="AC33" s="8">
        <f>Table11232[[#This Row],[d]]</f>
        <v>351</v>
      </c>
      <c r="AD33" s="8">
        <v>400</v>
      </c>
      <c r="AE33" s="5">
        <v>200</v>
      </c>
      <c r="AF33" s="1">
        <v>60.8</v>
      </c>
      <c r="AG33" s="8">
        <f>Table11232[[#This Row],[pho (%)]]/100*Table11232[[#This Row],[b (mm)]]*Table11232[[#This Row],[d (mm)]]</f>
        <v>1607.58</v>
      </c>
      <c r="AH33" s="1">
        <v>2.29</v>
      </c>
      <c r="AI33" s="8">
        <v>500</v>
      </c>
      <c r="AJ33" s="8">
        <f>(1/3-0.21*(MIN(Table11232[[#This Row],[b (mm)]],AD33)/MAX(Table11232[[#This Row],[b (mm)]],AD33))*(MIN(Table11232[[#This Row],[b (mm)]],AD33)^4/(12*MAX(Table11232[[#This Row],[b (mm)]],AD33)^4)))*MAX(Table11232[[#This Row],[b (mm)]],AD33)*MIN(Table11232[[#This Row],[b (mm)]],AD33)^3</f>
        <v>1064916666.6666665</v>
      </c>
      <c r="AK33" s="8">
        <f>Table11232[[#This Row],[b (mm)]]*AD33^3/12</f>
        <v>1066666666.6666666</v>
      </c>
      <c r="AL33" s="8">
        <v>2600</v>
      </c>
    </row>
    <row r="34" spans="1:38" s="1" customFormat="1" x14ac:dyDescent="0.25">
      <c r="A34" s="57" t="s">
        <v>139</v>
      </c>
      <c r="B34" s="15">
        <v>3</v>
      </c>
      <c r="C34" s="3">
        <v>33</v>
      </c>
      <c r="D34" s="15">
        <v>3.08</v>
      </c>
      <c r="E34" s="15">
        <v>95</v>
      </c>
      <c r="F34" s="15">
        <v>351</v>
      </c>
      <c r="G34" s="8">
        <f t="shared" si="16"/>
        <v>102702.59999999999</v>
      </c>
      <c r="H34" s="8">
        <f t="shared" si="17"/>
        <v>3.6558640109083388E-6</v>
      </c>
      <c r="I34" s="8">
        <f>G34/(Table11232[[#This Row],[b (mm)]]*AC34^2)</f>
        <v>4.1680911680911674E-3</v>
      </c>
      <c r="J34" s="8">
        <f t="shared" si="18"/>
        <v>0.36402542952761291</v>
      </c>
      <c r="K34" s="8">
        <f t="shared" si="19"/>
        <v>2.8410464421376036E-6</v>
      </c>
      <c r="L34" s="8">
        <f>E34/(Table11232[[#This Row],[b (mm)]]*AC34)</f>
        <v>1.3532763532763533E-3</v>
      </c>
      <c r="M34" s="8">
        <f>Table11232[[#This Row],[M (KN.mm)]]/(Table11232[[#This Row],[b (mm)]]*Table11232[[#This Row],[d (mm)]])</f>
        <v>1.4629999999999999</v>
      </c>
      <c r="N34" s="8">
        <f>Table11232[[#This Row],[M (KN.mm)]]/(Table11232[[#This Row],[b (mm)]]*Table11232[[#This Row],[h (mm)]])</f>
        <v>1.2837824999999998</v>
      </c>
      <c r="O34" s="8">
        <f>Table11232[[#This Row],[M (KN.mm)]]/(Table11232[[#This Row],[b (mm)]]*Table11232[[#This Row],[h (mm)]]*Table11232[[#This Row],[L(mm)]])</f>
        <v>4.9376249999999997E-4</v>
      </c>
      <c r="P34" s="8">
        <f>Table11232[[#This Row],[M (KN.mm)]]/(Table11232[[#This Row],[b (mm)]]*Table11232[[#This Row],[d (mm)]]*Table11232[[#This Row],[L(mm)]])</f>
        <v>5.6269230769230767E-4</v>
      </c>
      <c r="Q34" s="8">
        <f>Table11232[[#This Row],[M (KN.mm)]]/(Table11232[[#This Row],[b (mm)]]*Table11232[[#This Row],[h (mm)]]*Table11232[[#This Row],[L(mm)]]*Table11232[[#This Row],[fc (Mpa)]])</f>
        <v>8.1210937499999988E-6</v>
      </c>
      <c r="R34" s="8">
        <f>Table11232[[#This Row],[M (KN.mm)]]/(Table11232[[#This Row],[b (mm)]]*Table11232[[#This Row],[h (mm)]]*Table11232[[#This Row],[L(mm)]]/2)</f>
        <v>9.8752499999999995E-4</v>
      </c>
      <c r="S34" s="8">
        <f>Table11232[[#This Row],[M (KN.mm)]]/(Table11232[[#This Row],[a (mm)]]*Table11232[[#This Row],[b (mm)]]*Table11232[[#This Row],[h (mm)]]*Table11232[[#This Row],[L(mm)]]/2)</f>
        <v>9.1346153846153835E-7</v>
      </c>
      <c r="T34" s="8">
        <f>G34/($AN$5*AK34*0.001*Table11232[[#This Row],[pho (%)]])</f>
        <v>1.5964471663355191E-6</v>
      </c>
      <c r="U34" s="8">
        <f>Table11232[[#This Row],[M (KN.mm)]]/(Table11232[[#This Row],[b (mm)]]*Table11232[[#This Row],[d (mm)]]*Table11232[[#This Row],[pho (%)]])</f>
        <v>0.63886462882096062</v>
      </c>
      <c r="V34" s="8">
        <f>E34*224.8/(2*SQRT(Table11232[[#This Row],[fc (Mpa)]]*145.037)*Table11232[[#This Row],[b (mm)]]*Table11232[[#This Row],[d (mm)]]*(1/25.4)^2)</f>
        <v>1.0450306879735338</v>
      </c>
      <c r="W34" s="8">
        <f>Table11232[[#This Row],[M (KN.mm)]]/$G$38</f>
        <v>0.36821705426356593</v>
      </c>
      <c r="X34" s="8">
        <f>E34*224.8/(2*SQRT(Table11232[[#This Row],[fc (Mpa)]]*145.037)*Table11232[[#This Row],[b (mm)]]*Table11232[[#This Row],[d (mm)]]*(1/25.4)^2+Table11232[[#This Row],[Av fy d/s (N)]]*0.2248)</f>
        <v>0.52821848423006301</v>
      </c>
      <c r="Y34" s="15">
        <v>1.2669999999999999</v>
      </c>
      <c r="Z34" s="8">
        <f>Table11232[[#This Row],[Av fy/(b S) (Mpa)]]*Table11232[[#This Row],[d (mm)]]*Table11232[[#This Row],[b (mm)]]</f>
        <v>88943.4</v>
      </c>
      <c r="AA34" s="8">
        <f>Table11232[[#This Row],[d (mm)]]/260</f>
        <v>1.35</v>
      </c>
      <c r="AB34" s="8">
        <f>Table11232[[#This Row],[a/d]]*Table11232[[#This Row],[d]]</f>
        <v>1081.08</v>
      </c>
      <c r="AC34" s="8">
        <f>Table11232[[#This Row],[d]]</f>
        <v>351</v>
      </c>
      <c r="AD34" s="8">
        <v>400</v>
      </c>
      <c r="AE34" s="5">
        <v>200</v>
      </c>
      <c r="AF34" s="1">
        <v>60.8</v>
      </c>
      <c r="AG34" s="8">
        <f>Table11232[[#This Row],[pho (%)]]/100*Table11232[[#This Row],[b (mm)]]*Table11232[[#This Row],[d (mm)]]</f>
        <v>1607.58</v>
      </c>
      <c r="AH34" s="1">
        <v>2.29</v>
      </c>
      <c r="AI34" s="8">
        <v>500</v>
      </c>
      <c r="AJ34" s="8">
        <f>(1/3-0.21*(MIN(Table11232[[#This Row],[b (mm)]],AD34)/MAX(Table11232[[#This Row],[b (mm)]],AD34))*(MIN(Table11232[[#This Row],[b (mm)]],AD34)^4/(12*MAX(Table11232[[#This Row],[b (mm)]],AD34)^4)))*MAX(Table11232[[#This Row],[b (mm)]],AD34)*MIN(Table11232[[#This Row],[b (mm)]],AD34)^3</f>
        <v>1064916666.6666665</v>
      </c>
      <c r="AK34" s="8">
        <f>Table11232[[#This Row],[b (mm)]]*AD34^3/12</f>
        <v>1066666666.6666666</v>
      </c>
      <c r="AL34" s="8">
        <v>2600</v>
      </c>
    </row>
    <row r="35" spans="1:38" s="1" customFormat="1" x14ac:dyDescent="0.25">
      <c r="A35" s="57" t="s">
        <v>139</v>
      </c>
      <c r="B35" s="15">
        <v>4</v>
      </c>
      <c r="C35" s="3">
        <v>34</v>
      </c>
      <c r="D35" s="15">
        <v>3.08</v>
      </c>
      <c r="E35" s="15">
        <v>117</v>
      </c>
      <c r="F35" s="15">
        <v>351</v>
      </c>
      <c r="G35" s="8">
        <f t="shared" si="16"/>
        <v>126486.35999999999</v>
      </c>
      <c r="H35" s="8">
        <f t="shared" si="17"/>
        <v>4.5024851502765853E-6</v>
      </c>
      <c r="I35" s="8">
        <f>G35/(Table11232[[#This Row],[b (mm)]]*AC35^2)</f>
        <v>5.1333333333333326E-3</v>
      </c>
      <c r="J35" s="8">
        <f t="shared" si="18"/>
        <v>0.44832605531295489</v>
      </c>
      <c r="K35" s="8">
        <f t="shared" si="19"/>
        <v>3.4989729866326277E-6</v>
      </c>
      <c r="L35" s="8">
        <f>E35/(Table11232[[#This Row],[b (mm)]]*AC35)</f>
        <v>1.6666666666666668E-3</v>
      </c>
      <c r="M35" s="8">
        <f>Table11232[[#This Row],[M (KN.mm)]]/(Table11232[[#This Row],[b (mm)]]*Table11232[[#This Row],[d (mm)]])</f>
        <v>1.8017999999999998</v>
      </c>
      <c r="N35" s="8">
        <f>Table11232[[#This Row],[M (KN.mm)]]/(Table11232[[#This Row],[b (mm)]]*Table11232[[#This Row],[h (mm)]])</f>
        <v>1.5810794999999997</v>
      </c>
      <c r="O35" s="8">
        <f>Table11232[[#This Row],[M (KN.mm)]]/(Table11232[[#This Row],[b (mm)]]*Table11232[[#This Row],[h (mm)]]*Table11232[[#This Row],[L(mm)]])</f>
        <v>6.0810749999999994E-4</v>
      </c>
      <c r="P35" s="8">
        <f>Table11232[[#This Row],[M (KN.mm)]]/(Table11232[[#This Row],[b (mm)]]*Table11232[[#This Row],[d (mm)]]*Table11232[[#This Row],[L(mm)]])</f>
        <v>6.9299999999999993E-4</v>
      </c>
      <c r="Q35" s="8">
        <f>Table11232[[#This Row],[M (KN.mm)]]/(Table11232[[#This Row],[b (mm)]]*Table11232[[#This Row],[h (mm)]]*Table11232[[#This Row],[L(mm)]]*Table11232[[#This Row],[fc (Mpa)]])</f>
        <v>1.0001768092105262E-5</v>
      </c>
      <c r="R35" s="8">
        <f>Table11232[[#This Row],[M (KN.mm)]]/(Table11232[[#This Row],[b (mm)]]*Table11232[[#This Row],[h (mm)]]*Table11232[[#This Row],[L(mm)]]/2)</f>
        <v>1.2162149999999999E-3</v>
      </c>
      <c r="S35" s="8">
        <f>Table11232[[#This Row],[M (KN.mm)]]/(Table11232[[#This Row],[a (mm)]]*Table11232[[#This Row],[b (mm)]]*Table11232[[#This Row],[h (mm)]]*Table11232[[#This Row],[L(mm)]]/2)</f>
        <v>1.1249999999999998E-6</v>
      </c>
      <c r="T35" s="8">
        <f>G35/($AN$5*AK35*0.001*Table11232[[#This Row],[pho (%)]])</f>
        <v>1.9661507206447974E-6</v>
      </c>
      <c r="U35" s="8">
        <f>Table11232[[#This Row],[M (KN.mm)]]/(Table11232[[#This Row],[b (mm)]]*Table11232[[#This Row],[d (mm)]]*Table11232[[#This Row],[pho (%)]])</f>
        <v>0.7868122270742357</v>
      </c>
      <c r="V35" s="8">
        <f>E35*224.8/(2*SQRT(Table11232[[#This Row],[fc (Mpa)]]*145.037)*Table11232[[#This Row],[b (mm)]]*Table11232[[#This Row],[d (mm)]]*(1/25.4)^2)</f>
        <v>1.2870377946621416</v>
      </c>
      <c r="W35" s="8">
        <f>Table11232[[#This Row],[M (KN.mm)]]/$G$38</f>
        <v>0.45348837209302328</v>
      </c>
      <c r="X35" s="8">
        <f>E35*224.8/(2*SQRT(Table11232[[#This Row],[fc (Mpa)]]*145.037)*Table11232[[#This Row],[b (mm)]]*Table11232[[#This Row],[d (mm)]]*(1/25.4)^2+Table11232[[#This Row],[Av fy d/s (N)]]*0.2248)</f>
        <v>0.65054276478860396</v>
      </c>
      <c r="Y35" s="15">
        <v>1.2669999999999999</v>
      </c>
      <c r="Z35" s="8">
        <f>Table11232[[#This Row],[Av fy/(b S) (Mpa)]]*Table11232[[#This Row],[d (mm)]]*Table11232[[#This Row],[b (mm)]]</f>
        <v>88943.4</v>
      </c>
      <c r="AA35" s="8">
        <f>Table11232[[#This Row],[d (mm)]]/260</f>
        <v>1.35</v>
      </c>
      <c r="AB35" s="8">
        <f>Table11232[[#This Row],[a/d]]*Table11232[[#This Row],[d]]</f>
        <v>1081.08</v>
      </c>
      <c r="AC35" s="8">
        <f>Table11232[[#This Row],[d]]</f>
        <v>351</v>
      </c>
      <c r="AD35" s="8">
        <v>400</v>
      </c>
      <c r="AE35" s="5">
        <v>200</v>
      </c>
      <c r="AF35" s="1">
        <v>60.8</v>
      </c>
      <c r="AG35" s="8">
        <f>Table11232[[#This Row],[pho (%)]]/100*Table11232[[#This Row],[b (mm)]]*Table11232[[#This Row],[d (mm)]]</f>
        <v>1607.58</v>
      </c>
      <c r="AH35" s="1">
        <v>2.29</v>
      </c>
      <c r="AI35" s="8">
        <v>500</v>
      </c>
      <c r="AJ35" s="8">
        <f>(1/3-0.21*(MIN(Table11232[[#This Row],[b (mm)]],AD35)/MAX(Table11232[[#This Row],[b (mm)]],AD35))*(MIN(Table11232[[#This Row],[b (mm)]],AD35)^4/(12*MAX(Table11232[[#This Row],[b (mm)]],AD35)^4)))*MAX(Table11232[[#This Row],[b (mm)]],AD35)*MIN(Table11232[[#This Row],[b (mm)]],AD35)^3</f>
        <v>1064916666.6666665</v>
      </c>
      <c r="AK35" s="8">
        <f>Table11232[[#This Row],[b (mm)]]*AD35^3/12</f>
        <v>1066666666.6666666</v>
      </c>
      <c r="AL35" s="8">
        <v>2600</v>
      </c>
    </row>
    <row r="36" spans="1:38" s="1" customFormat="1" x14ac:dyDescent="0.25">
      <c r="A36" s="57" t="s">
        <v>139</v>
      </c>
      <c r="B36" s="15">
        <v>5</v>
      </c>
      <c r="C36" s="3">
        <v>35</v>
      </c>
      <c r="D36" s="15">
        <v>3.08</v>
      </c>
      <c r="E36" s="15">
        <v>130</v>
      </c>
      <c r="F36" s="15">
        <v>351</v>
      </c>
      <c r="G36" s="8">
        <f t="shared" si="16"/>
        <v>140540.4</v>
      </c>
      <c r="H36" s="8">
        <f t="shared" si="17"/>
        <v>5.0027612780850956E-6</v>
      </c>
      <c r="I36" s="8">
        <f>G36/(Table11232[[#This Row],[b (mm)]]*AC36^2)</f>
        <v>5.7037037037037039E-3</v>
      </c>
      <c r="J36" s="8">
        <f t="shared" si="18"/>
        <v>0.49814006145883877</v>
      </c>
      <c r="K36" s="8">
        <f t="shared" si="19"/>
        <v>3.8877477629251424E-6</v>
      </c>
      <c r="L36" s="8">
        <f>E36/(Table11232[[#This Row],[b (mm)]]*AC36)</f>
        <v>1.8518518518518519E-3</v>
      </c>
      <c r="M36" s="8">
        <f>Table11232[[#This Row],[M (KN.mm)]]/(Table11232[[#This Row],[b (mm)]]*Table11232[[#This Row],[d (mm)]])</f>
        <v>2.0019999999999998</v>
      </c>
      <c r="N36" s="8">
        <f>Table11232[[#This Row],[M (KN.mm)]]/(Table11232[[#This Row],[b (mm)]]*Table11232[[#This Row],[h (mm)]])</f>
        <v>1.7567549999999998</v>
      </c>
      <c r="O36" s="8">
        <f>Table11232[[#This Row],[M (KN.mm)]]/(Table11232[[#This Row],[b (mm)]]*Table11232[[#This Row],[h (mm)]]*Table11232[[#This Row],[L(mm)]])</f>
        <v>6.7567499999999993E-4</v>
      </c>
      <c r="P36" s="8">
        <f>Table11232[[#This Row],[M (KN.mm)]]/(Table11232[[#This Row],[b (mm)]]*Table11232[[#This Row],[d (mm)]]*Table11232[[#This Row],[L(mm)]])</f>
        <v>7.6999999999999996E-4</v>
      </c>
      <c r="Q36" s="8">
        <f>Table11232[[#This Row],[M (KN.mm)]]/(Table11232[[#This Row],[b (mm)]]*Table11232[[#This Row],[h (mm)]]*Table11232[[#This Row],[L(mm)]]*Table11232[[#This Row],[fc (Mpa)]])</f>
        <v>1.1113075657894736E-5</v>
      </c>
      <c r="R36" s="8">
        <f>Table11232[[#This Row],[M (KN.mm)]]/(Table11232[[#This Row],[b (mm)]]*Table11232[[#This Row],[h (mm)]]*Table11232[[#This Row],[L(mm)]]/2)</f>
        <v>1.3513499999999999E-3</v>
      </c>
      <c r="S36" s="8">
        <f>Table11232[[#This Row],[M (KN.mm)]]/(Table11232[[#This Row],[a (mm)]]*Table11232[[#This Row],[b (mm)]]*Table11232[[#This Row],[h (mm)]]*Table11232[[#This Row],[L(mm)]]/2)</f>
        <v>1.2499999999999999E-6</v>
      </c>
      <c r="T36" s="8">
        <f>G36/($AN$5*AK36*0.001*Table11232[[#This Row],[pho (%)]])</f>
        <v>2.1846119118275524E-6</v>
      </c>
      <c r="U36" s="8">
        <f>Table11232[[#This Row],[M (KN.mm)]]/(Table11232[[#This Row],[b (mm)]]*Table11232[[#This Row],[d (mm)]]*Table11232[[#This Row],[pho (%)]])</f>
        <v>0.874235807860262</v>
      </c>
      <c r="V36" s="8">
        <f>E36*224.8/(2*SQRT(Table11232[[#This Row],[fc (Mpa)]]*145.037)*Table11232[[#This Row],[b (mm)]]*Table11232[[#This Row],[d (mm)]]*(1/25.4)^2)</f>
        <v>1.4300419940690461</v>
      </c>
      <c r="W36" s="8">
        <f>Table11232[[#This Row],[M (KN.mm)]]/$G$38</f>
        <v>0.50387596899224807</v>
      </c>
      <c r="X36" s="8">
        <f>E36*224.8/(2*SQRT(Table11232[[#This Row],[fc (Mpa)]]*145.037)*Table11232[[#This Row],[b (mm)]]*Table11232[[#This Row],[d (mm)]]*(1/25.4)^2+Table11232[[#This Row],[Av fy d/s (N)]]*0.2248)</f>
        <v>0.72282529420955999</v>
      </c>
      <c r="Y36" s="15">
        <v>1.2669999999999999</v>
      </c>
      <c r="Z36" s="8">
        <f>Table11232[[#This Row],[Av fy/(b S) (Mpa)]]*Table11232[[#This Row],[d (mm)]]*Table11232[[#This Row],[b (mm)]]</f>
        <v>88943.4</v>
      </c>
      <c r="AA36" s="8">
        <f>Table11232[[#This Row],[d (mm)]]/260</f>
        <v>1.35</v>
      </c>
      <c r="AB36" s="8">
        <f>Table11232[[#This Row],[a/d]]*Table11232[[#This Row],[d]]</f>
        <v>1081.08</v>
      </c>
      <c r="AC36" s="8">
        <f>Table11232[[#This Row],[d]]</f>
        <v>351</v>
      </c>
      <c r="AD36" s="8">
        <v>400</v>
      </c>
      <c r="AE36" s="5">
        <v>200</v>
      </c>
      <c r="AF36" s="1">
        <v>60.8</v>
      </c>
      <c r="AG36" s="8">
        <f>Table11232[[#This Row],[pho (%)]]/100*Table11232[[#This Row],[b (mm)]]*Table11232[[#This Row],[d (mm)]]</f>
        <v>1607.58</v>
      </c>
      <c r="AH36" s="1">
        <v>2.29</v>
      </c>
      <c r="AI36" s="8">
        <v>500</v>
      </c>
      <c r="AJ36" s="8">
        <f>(1/3-0.21*(MIN(Table11232[[#This Row],[b (mm)]],AD36)/MAX(Table11232[[#This Row],[b (mm)]],AD36))*(MIN(Table11232[[#This Row],[b (mm)]],AD36)^4/(12*MAX(Table11232[[#This Row],[b (mm)]],AD36)^4)))*MAX(Table11232[[#This Row],[b (mm)]],AD36)*MIN(Table11232[[#This Row],[b (mm)]],AD36)^3</f>
        <v>1064916666.6666665</v>
      </c>
      <c r="AK36" s="8">
        <f>Table11232[[#This Row],[b (mm)]]*AD36^3/12</f>
        <v>1066666666.6666666</v>
      </c>
      <c r="AL36" s="8">
        <v>2600</v>
      </c>
    </row>
    <row r="37" spans="1:38" s="1" customFormat="1" x14ac:dyDescent="0.25">
      <c r="A37" s="57" t="s">
        <v>139</v>
      </c>
      <c r="B37" s="15">
        <v>6</v>
      </c>
      <c r="C37" s="3">
        <v>36</v>
      </c>
      <c r="D37" s="15">
        <v>3.08</v>
      </c>
      <c r="E37" s="15">
        <v>165</v>
      </c>
      <c r="F37" s="15">
        <v>351</v>
      </c>
      <c r="G37" s="8">
        <f t="shared" si="16"/>
        <v>178378.19999999998</v>
      </c>
      <c r="H37" s="8">
        <f t="shared" si="17"/>
        <v>6.3496585452618512E-6</v>
      </c>
      <c r="I37" s="8">
        <f>G37/(Table11232[[#This Row],[b (mm)]]*AC37^2)</f>
        <v>7.2393162393162387E-3</v>
      </c>
      <c r="J37" s="8">
        <f t="shared" si="18"/>
        <v>0.63225469339006457</v>
      </c>
      <c r="K37" s="8">
        <f t="shared" si="19"/>
        <v>4.93444908371268E-6</v>
      </c>
      <c r="L37" s="8">
        <f>E37/(Table11232[[#This Row],[b (mm)]]*AC37)</f>
        <v>2.3504273504273503E-3</v>
      </c>
      <c r="M37" s="8">
        <f>Table11232[[#This Row],[M (KN.mm)]]/(Table11232[[#This Row],[b (mm)]]*Table11232[[#This Row],[d (mm)]])</f>
        <v>2.5409999999999999</v>
      </c>
      <c r="N37" s="8">
        <f>Table11232[[#This Row],[M (KN.mm)]]/(Table11232[[#This Row],[b (mm)]]*Table11232[[#This Row],[h (mm)]])</f>
        <v>2.2297274999999996</v>
      </c>
      <c r="O37" s="8">
        <f>Table11232[[#This Row],[M (KN.mm)]]/(Table11232[[#This Row],[b (mm)]]*Table11232[[#This Row],[h (mm)]]*Table11232[[#This Row],[L(mm)]])</f>
        <v>8.5758749999999989E-4</v>
      </c>
      <c r="P37" s="8">
        <f>Table11232[[#This Row],[M (KN.mm)]]/(Table11232[[#This Row],[b (mm)]]*Table11232[[#This Row],[d (mm)]]*Table11232[[#This Row],[L(mm)]])</f>
        <v>9.7730769230769225E-4</v>
      </c>
      <c r="Q37" s="8">
        <f>Table11232[[#This Row],[M (KN.mm)]]/(Table11232[[#This Row],[b (mm)]]*Table11232[[#This Row],[h (mm)]]*Table11232[[#This Row],[L(mm)]]*Table11232[[#This Row],[fc (Mpa)]])</f>
        <v>1.4105057565789473E-5</v>
      </c>
      <c r="R37" s="8">
        <f>Table11232[[#This Row],[M (KN.mm)]]/(Table11232[[#This Row],[b (mm)]]*Table11232[[#This Row],[h (mm)]]*Table11232[[#This Row],[L(mm)]]/2)</f>
        <v>1.7151749999999998E-3</v>
      </c>
      <c r="S37" s="8">
        <f>Table11232[[#This Row],[M (KN.mm)]]/(Table11232[[#This Row],[a (mm)]]*Table11232[[#This Row],[b (mm)]]*Table11232[[#This Row],[h (mm)]]*Table11232[[#This Row],[L(mm)]]/2)</f>
        <v>1.5865384615384614E-6</v>
      </c>
      <c r="T37" s="8">
        <f>G37/($AN$5*AK37*0.001*Table11232[[#This Row],[pho (%)]])</f>
        <v>2.7727766573195858E-6</v>
      </c>
      <c r="U37" s="8">
        <f>Table11232[[#This Row],[M (KN.mm)]]/(Table11232[[#This Row],[b (mm)]]*Table11232[[#This Row],[d (mm)]]*Table11232[[#This Row],[pho (%)]])</f>
        <v>1.1096069868995633</v>
      </c>
      <c r="V37" s="8">
        <f>E37*224.8/(2*SQRT(Table11232[[#This Row],[fc (Mpa)]]*145.037)*Table11232[[#This Row],[b (mm)]]*Table11232[[#This Row],[d (mm)]]*(1/25.4)^2)</f>
        <v>1.8150533001645586</v>
      </c>
      <c r="W37" s="8">
        <f>Table11232[[#This Row],[M (KN.mm)]]/$G$38</f>
        <v>0.63953488372093026</v>
      </c>
      <c r="X37" s="8">
        <f>E37*224.8/(2*SQRT(Table11232[[#This Row],[fc (Mpa)]]*145.037)*Table11232[[#This Row],[b (mm)]]*Table11232[[#This Row],[d (mm)]]*(1/25.4)^2+Table11232[[#This Row],[Av fy d/s (N)]]*0.2248)</f>
        <v>0.91743210418905685</v>
      </c>
      <c r="Y37" s="15">
        <v>1.2669999999999999</v>
      </c>
      <c r="Z37" s="8">
        <f>Table11232[[#This Row],[Av fy/(b S) (Mpa)]]*Table11232[[#This Row],[d (mm)]]*Table11232[[#This Row],[b (mm)]]</f>
        <v>88943.4</v>
      </c>
      <c r="AA37" s="8">
        <f>Table11232[[#This Row],[d (mm)]]/260</f>
        <v>1.35</v>
      </c>
      <c r="AB37" s="8">
        <f>Table11232[[#This Row],[a/d]]*Table11232[[#This Row],[d]]</f>
        <v>1081.08</v>
      </c>
      <c r="AC37" s="8">
        <f>Table11232[[#This Row],[d]]</f>
        <v>351</v>
      </c>
      <c r="AD37" s="8">
        <v>400</v>
      </c>
      <c r="AE37" s="5">
        <v>200</v>
      </c>
      <c r="AF37" s="1">
        <v>60.8</v>
      </c>
      <c r="AG37" s="8">
        <f>Table11232[[#This Row],[pho (%)]]/100*Table11232[[#This Row],[b (mm)]]*Table11232[[#This Row],[d (mm)]]</f>
        <v>1607.58</v>
      </c>
      <c r="AH37" s="1">
        <v>2.29</v>
      </c>
      <c r="AI37" s="8">
        <v>500</v>
      </c>
      <c r="AJ37" s="8">
        <f>(1/3-0.21*(MIN(Table11232[[#This Row],[b (mm)]],AD37)/MAX(Table11232[[#This Row],[b (mm)]],AD37))*(MIN(Table11232[[#This Row],[b (mm)]],AD37)^4/(12*MAX(Table11232[[#This Row],[b (mm)]],AD37)^4)))*MAX(Table11232[[#This Row],[b (mm)]],AD37)*MIN(Table11232[[#This Row],[b (mm)]],AD37)^3</f>
        <v>1064916666.6666665</v>
      </c>
      <c r="AK37" s="8">
        <f>Table11232[[#This Row],[b (mm)]]*AD37^3/12</f>
        <v>1066666666.6666666</v>
      </c>
      <c r="AL37" s="8">
        <v>2600</v>
      </c>
    </row>
    <row r="38" spans="1:38" s="1" customFormat="1" x14ac:dyDescent="0.25">
      <c r="A38" s="57" t="s">
        <v>139</v>
      </c>
      <c r="B38" s="15">
        <v>7</v>
      </c>
      <c r="C38" s="3">
        <v>37</v>
      </c>
      <c r="D38" s="15">
        <v>3.08</v>
      </c>
      <c r="E38" s="15">
        <v>258</v>
      </c>
      <c r="F38" s="15">
        <v>351</v>
      </c>
      <c r="G38" s="8">
        <f t="shared" si="16"/>
        <v>278918.63999999996</v>
      </c>
      <c r="H38" s="8">
        <f t="shared" si="17"/>
        <v>9.9285569980458026E-6</v>
      </c>
      <c r="I38" s="8">
        <f>G38/(Table11232[[#This Row],[b (mm)]]*AC38^2)</f>
        <v>1.1319658119658118E-2</v>
      </c>
      <c r="J38" s="8">
        <f t="shared" si="18"/>
        <v>0.9886164296644645</v>
      </c>
      <c r="K38" s="8">
        <f t="shared" si="19"/>
        <v>7.7156840218052819E-6</v>
      </c>
      <c r="L38" s="8">
        <f>E38/(Table11232[[#This Row],[b (mm)]]*AC38)</f>
        <v>3.6752136752136754E-3</v>
      </c>
      <c r="M38" s="8">
        <f>Table11232[[#This Row],[M (KN.mm)]]/(Table11232[[#This Row],[b (mm)]]*Table11232[[#This Row],[d (mm)]])</f>
        <v>3.9731999999999994</v>
      </c>
      <c r="N38" s="8">
        <f>Table11232[[#This Row],[M (KN.mm)]]/(Table11232[[#This Row],[b (mm)]]*Table11232[[#This Row],[h (mm)]])</f>
        <v>3.4864829999999993</v>
      </c>
      <c r="O38" s="8">
        <f>Table11232[[#This Row],[M (KN.mm)]]/(Table11232[[#This Row],[b (mm)]]*Table11232[[#This Row],[h (mm)]]*Table11232[[#This Row],[L(mm)]])</f>
        <v>1.3409549999999998E-3</v>
      </c>
      <c r="P38" s="8">
        <f>Table11232[[#This Row],[M (KN.mm)]]/(Table11232[[#This Row],[b (mm)]]*Table11232[[#This Row],[d (mm)]]*Table11232[[#This Row],[L(mm)]])</f>
        <v>1.528153846153846E-3</v>
      </c>
      <c r="Q38" s="8">
        <f>Table11232[[#This Row],[M (KN.mm)]]/(Table11232[[#This Row],[b (mm)]]*Table11232[[#This Row],[h (mm)]]*Table11232[[#This Row],[L(mm)]]*Table11232[[#This Row],[fc (Mpa)]])</f>
        <v>2.2055180921052629E-5</v>
      </c>
      <c r="R38" s="8">
        <f>Table11232[[#This Row],[M (KN.mm)]]/(Table11232[[#This Row],[b (mm)]]*Table11232[[#This Row],[h (mm)]]*Table11232[[#This Row],[L(mm)]]/2)</f>
        <v>2.6819099999999996E-3</v>
      </c>
      <c r="S38" s="8">
        <f>Table11232[[#This Row],[M (KN.mm)]]/(Table11232[[#This Row],[a (mm)]]*Table11232[[#This Row],[b (mm)]]*Table11232[[#This Row],[h (mm)]]*Table11232[[#This Row],[L(mm)]]/2)</f>
        <v>2.4807692307692304E-6</v>
      </c>
      <c r="T38" s="8">
        <f>G38/($AN$5*AK38*0.001*Table11232[[#This Row],[pho (%)]])</f>
        <v>4.3356144096269887E-6</v>
      </c>
      <c r="U38" s="8">
        <f>Table11232[[#This Row],[M (KN.mm)]]/(Table11232[[#This Row],[b (mm)]]*Table11232[[#This Row],[d (mm)]]*Table11232[[#This Row],[pho (%)]])</f>
        <v>1.7350218340611352</v>
      </c>
      <c r="V38" s="8">
        <f>E38*224.8/(2*SQRT(Table11232[[#This Row],[fc (Mpa)]]*145.037)*Table11232[[#This Row],[b (mm)]]*Table11232[[#This Row],[d (mm)]]*(1/25.4)^2)</f>
        <v>2.8380833420754916</v>
      </c>
      <c r="W38" s="8">
        <f>Table11232[[#This Row],[M (KN.mm)]]/$G$38</f>
        <v>1</v>
      </c>
      <c r="X38" s="8">
        <f>E38*224.8/(2*SQRT(Table11232[[#This Row],[fc (Mpa)]]*145.037)*Table11232[[#This Row],[b (mm)]]*Table11232[[#This Row],[d (mm)]]*(1/25.4)^2+Table11232[[#This Row],[Av fy d/s (N)]]*0.2248)</f>
        <v>1.4345301992774344</v>
      </c>
      <c r="Y38" s="15">
        <v>1.2669999999999999</v>
      </c>
      <c r="Z38" s="8">
        <f>Table11232[[#This Row],[Av fy/(b S) (Mpa)]]*Table11232[[#This Row],[d (mm)]]*Table11232[[#This Row],[b (mm)]]</f>
        <v>88943.4</v>
      </c>
      <c r="AA38" s="8">
        <f>Table11232[[#This Row],[d (mm)]]/260</f>
        <v>1.35</v>
      </c>
      <c r="AB38" s="8">
        <f>Table11232[[#This Row],[a/d]]*Table11232[[#This Row],[d]]</f>
        <v>1081.08</v>
      </c>
      <c r="AC38" s="8">
        <f>Table11232[[#This Row],[d]]</f>
        <v>351</v>
      </c>
      <c r="AD38" s="8">
        <v>400</v>
      </c>
      <c r="AE38" s="5">
        <v>200</v>
      </c>
      <c r="AF38" s="1">
        <v>60.8</v>
      </c>
      <c r="AG38" s="8">
        <f>Table11232[[#This Row],[pho (%)]]/100*Table11232[[#This Row],[b (mm)]]*Table11232[[#This Row],[d (mm)]]</f>
        <v>1607.58</v>
      </c>
      <c r="AH38" s="1">
        <v>2.29</v>
      </c>
      <c r="AI38" s="8">
        <v>500</v>
      </c>
      <c r="AJ38" s="8">
        <f>(1/3-0.21*(MIN(Table11232[[#This Row],[b (mm)]],AD38)/MAX(Table11232[[#This Row],[b (mm)]],AD38))*(MIN(Table11232[[#This Row],[b (mm)]],AD38)^4/(12*MAX(Table11232[[#This Row],[b (mm)]],AD38)^4)))*MAX(Table11232[[#This Row],[b (mm)]],AD38)*MIN(Table11232[[#This Row],[b (mm)]],AD38)^3</f>
        <v>1064916666.6666665</v>
      </c>
      <c r="AK38" s="8">
        <f>Table11232[[#This Row],[b (mm)]]*AD38^3/12</f>
        <v>1066666666.6666666</v>
      </c>
      <c r="AL38" s="8">
        <v>2600</v>
      </c>
    </row>
    <row r="39" spans="1:38" s="1" customFormat="1" x14ac:dyDescent="0.25">
      <c r="A39" s="56" t="s">
        <v>140</v>
      </c>
      <c r="B39" s="15">
        <v>1</v>
      </c>
      <c r="C39" s="3">
        <v>38</v>
      </c>
      <c r="D39" s="15">
        <v>3.06</v>
      </c>
      <c r="E39" s="15">
        <v>67</v>
      </c>
      <c r="F39" s="15">
        <v>353</v>
      </c>
      <c r="G39" s="8">
        <f t="shared" ref="G39:G45" si="20">E39*AB39</f>
        <v>72372.06</v>
      </c>
      <c r="H39" s="8">
        <f t="shared" ref="H39:H45" si="21">G39/($AN$5*AK39*0.001)</f>
        <v>2.5761997218113167E-6</v>
      </c>
      <c r="I39" s="8">
        <f>G39/(Table11232[[#This Row],[b (mm)]]*AC39^2)</f>
        <v>2.9039660056657222E-3</v>
      </c>
      <c r="J39" s="8">
        <f t="shared" ref="J39:J45" si="22">G39/(AG39*AI39*AC39*0.001)</f>
        <v>0.25473386014611604</v>
      </c>
      <c r="K39" s="8">
        <f t="shared" ref="K39:K45" si="23">E39/($AN$4*AJ39*0.001)</f>
        <v>2.0036853855075733E-6</v>
      </c>
      <c r="L39" s="8">
        <f>E39/(Table11232[[#This Row],[b (mm)]]*AC39)</f>
        <v>9.4900849858356939E-4</v>
      </c>
      <c r="M39" s="8">
        <f>Table11232[[#This Row],[M (KN.mm)]]/(Table11232[[#This Row],[b (mm)]]*Table11232[[#This Row],[d (mm)]])</f>
        <v>1.0250999999999999</v>
      </c>
      <c r="N39" s="8">
        <f>Table11232[[#This Row],[M (KN.mm)]]/(Table11232[[#This Row],[b (mm)]]*Table11232[[#This Row],[h (mm)]])</f>
        <v>0.90465074999999995</v>
      </c>
      <c r="O39" s="8">
        <f>Table11232[[#This Row],[M (KN.mm)]]/(Table11232[[#This Row],[b (mm)]]*Table11232[[#This Row],[h (mm)]]*Table11232[[#This Row],[L(mm)]])</f>
        <v>3.4794259615384613E-4</v>
      </c>
      <c r="P39" s="8">
        <f>Table11232[[#This Row],[M (KN.mm)]]/(Table11232[[#This Row],[b (mm)]]*Table11232[[#This Row],[d (mm)]]*Table11232[[#This Row],[L(mm)]])</f>
        <v>3.9426923076923075E-4</v>
      </c>
      <c r="Q39" s="8">
        <f>Table11232[[#This Row],[M (KN.mm)]]/(Table11232[[#This Row],[b (mm)]]*Table11232[[#This Row],[h (mm)]]*Table11232[[#This Row],[L(mm)]]*Table11232[[#This Row],[fc (Mpa)]])</f>
        <v>5.0499651110863001E-6</v>
      </c>
      <c r="R39" s="8">
        <f>Table11232[[#This Row],[M (KN.mm)]]/(Table11232[[#This Row],[b (mm)]]*Table11232[[#This Row],[h (mm)]]*Table11232[[#This Row],[L(mm)]]/2)</f>
        <v>6.9588519230769227E-4</v>
      </c>
      <c r="S39" s="8">
        <f>Table11232[[#This Row],[M (KN.mm)]]/(Table11232[[#This Row],[a (mm)]]*Table11232[[#This Row],[b (mm)]]*Table11232[[#This Row],[h (mm)]]*Table11232[[#This Row],[L(mm)]]/2)</f>
        <v>6.4423076923076918E-7</v>
      </c>
      <c r="T39" s="8">
        <f>G39/($AN$5*AK39*0.001*Table11232[[#This Row],[pho (%)]])</f>
        <v>1.1299121586891742E-6</v>
      </c>
      <c r="U39" s="8">
        <f>Table11232[[#This Row],[M (KN.mm)]]/(Table11232[[#This Row],[b (mm)]]*Table11232[[#This Row],[d (mm)]]*Table11232[[#This Row],[pho (%)]])</f>
        <v>0.44960526315789473</v>
      </c>
      <c r="V39" s="8">
        <f>E39*224.8/(2*SQRT(Table11232[[#This Row],[fc (Mpa)]]*145.037)*Table11232[[#This Row],[b (mm)]]*Table11232[[#This Row],[d (mm)]]*(1/25.4)^2)</f>
        <v>0.68842214336956375</v>
      </c>
      <c r="W39" s="8">
        <f>Table11232[[#This Row],[M (KN.mm)]]/$G$45</f>
        <v>0.32843137254901961</v>
      </c>
      <c r="X39" s="8">
        <f>E39*224.8/(2*SQRT(Table11232[[#This Row],[fc (Mpa)]]*145.037)*Table11232[[#This Row],[b (mm)]]*Table11232[[#This Row],[d (mm)]]*(1/25.4)^2+Table11232[[#This Row],[Av fy d/s (N)]]*0.2248)</f>
        <v>0.44648151131751396</v>
      </c>
      <c r="Y39" s="15">
        <v>0.747</v>
      </c>
      <c r="Z39" s="8">
        <f>Table11232[[#This Row],[Av fy/(b S) (Mpa)]]*Table11232[[#This Row],[d (mm)]]*Table11232[[#This Row],[b (mm)]]</f>
        <v>52738.2</v>
      </c>
      <c r="AA39" s="8">
        <f>Table11232[[#This Row],[d (mm)]]/260</f>
        <v>1.3576923076923078</v>
      </c>
      <c r="AB39" s="8">
        <f>Table11232[[#This Row],[a/d]]*Table11232[[#This Row],[d]]</f>
        <v>1080.18</v>
      </c>
      <c r="AC39" s="8">
        <f>Table11232[[#This Row],[d]]</f>
        <v>353</v>
      </c>
      <c r="AD39" s="8">
        <v>400</v>
      </c>
      <c r="AE39" s="5">
        <v>200</v>
      </c>
      <c r="AF39" s="1">
        <v>68.900000000000006</v>
      </c>
      <c r="AG39" s="8">
        <f>Table11232[[#This Row],[pho (%)]]/100*Table11232[[#This Row],[b (mm)]]*Table11232[[#This Row],[d (mm)]]</f>
        <v>1609.6799999999998</v>
      </c>
      <c r="AH39" s="1">
        <v>2.2799999999999998</v>
      </c>
      <c r="AI39" s="8">
        <v>500</v>
      </c>
      <c r="AJ39" s="8">
        <f>(1/3-0.21*(MIN(Table11232[[#This Row],[b (mm)]],AD39)/MAX(Table11232[[#This Row],[b (mm)]],AD39))*(MIN(Table11232[[#This Row],[b (mm)]],AD39)^4/(12*MAX(Table11232[[#This Row],[b (mm)]],AD39)^4)))*MAX(Table11232[[#This Row],[b (mm)]],AD39)*MIN(Table11232[[#This Row],[b (mm)]],AD39)^3</f>
        <v>1064916666.6666665</v>
      </c>
      <c r="AK39" s="8">
        <f>Table11232[[#This Row],[b (mm)]]*AD39^3/12</f>
        <v>1066666666.6666666</v>
      </c>
      <c r="AL39" s="8">
        <v>2600</v>
      </c>
    </row>
    <row r="40" spans="1:38" s="1" customFormat="1" x14ac:dyDescent="0.25">
      <c r="A40" s="56" t="s">
        <v>140</v>
      </c>
      <c r="B40" s="15">
        <v>2</v>
      </c>
      <c r="C40" s="3">
        <v>39</v>
      </c>
      <c r="D40" s="15">
        <v>3.06</v>
      </c>
      <c r="E40" s="15">
        <v>85</v>
      </c>
      <c r="F40" s="15">
        <v>353</v>
      </c>
      <c r="G40" s="8">
        <f t="shared" si="20"/>
        <v>91815.3</v>
      </c>
      <c r="H40" s="8">
        <f t="shared" si="21"/>
        <v>3.2683130799098796E-6</v>
      </c>
      <c r="I40" s="8">
        <f>G40/(Table11232[[#This Row],[b (mm)]]*AC40^2)</f>
        <v>3.6841359773371104E-3</v>
      </c>
      <c r="J40" s="8">
        <f t="shared" si="22"/>
        <v>0.3231698225734308</v>
      </c>
      <c r="K40" s="8">
        <f t="shared" si="23"/>
        <v>2.5419889219125928E-6</v>
      </c>
      <c r="L40" s="8">
        <f>E40/(Table11232[[#This Row],[b (mm)]]*AC40)</f>
        <v>1.2039660056657223E-3</v>
      </c>
      <c r="M40" s="8">
        <f>Table11232[[#This Row],[M (KN.mm)]]/(Table11232[[#This Row],[b (mm)]]*Table11232[[#This Row],[d (mm)]])</f>
        <v>1.3005</v>
      </c>
      <c r="N40" s="8">
        <f>Table11232[[#This Row],[M (KN.mm)]]/(Table11232[[#This Row],[b (mm)]]*Table11232[[#This Row],[h (mm)]])</f>
        <v>1.1476912500000001</v>
      </c>
      <c r="O40" s="8">
        <f>Table11232[[#This Row],[M (KN.mm)]]/(Table11232[[#This Row],[b (mm)]]*Table11232[[#This Row],[h (mm)]]*Table11232[[#This Row],[L(mm)]])</f>
        <v>4.4141971153846153E-4</v>
      </c>
      <c r="P40" s="8">
        <f>Table11232[[#This Row],[M (KN.mm)]]/(Table11232[[#This Row],[b (mm)]]*Table11232[[#This Row],[d (mm)]]*Table11232[[#This Row],[L(mm)]])</f>
        <v>5.0019230769230772E-4</v>
      </c>
      <c r="Q40" s="8">
        <f>Table11232[[#This Row],[M (KN.mm)]]/(Table11232[[#This Row],[b (mm)]]*Table11232[[#This Row],[h (mm)]]*Table11232[[#This Row],[L(mm)]]*Table11232[[#This Row],[fc (Mpa)]])</f>
        <v>6.4066721558557547E-6</v>
      </c>
      <c r="R40" s="8">
        <f>Table11232[[#This Row],[M (KN.mm)]]/(Table11232[[#This Row],[b (mm)]]*Table11232[[#This Row],[h (mm)]]*Table11232[[#This Row],[L(mm)]]/2)</f>
        <v>8.8283942307692306E-4</v>
      </c>
      <c r="S40" s="8">
        <f>Table11232[[#This Row],[M (KN.mm)]]/(Table11232[[#This Row],[a (mm)]]*Table11232[[#This Row],[b (mm)]]*Table11232[[#This Row],[h (mm)]]*Table11232[[#This Row],[L(mm)]]/2)</f>
        <v>8.1730769230769228E-7</v>
      </c>
      <c r="T40" s="8">
        <f>G40/($AN$5*AK40*0.001*Table11232[[#This Row],[pho (%)]])</f>
        <v>1.4334706490832808E-6</v>
      </c>
      <c r="U40" s="8">
        <f>Table11232[[#This Row],[M (KN.mm)]]/(Table11232[[#This Row],[b (mm)]]*Table11232[[#This Row],[d (mm)]]*Table11232[[#This Row],[pho (%)]])</f>
        <v>0.57039473684210529</v>
      </c>
      <c r="V40" s="8">
        <f>E40*224.8/(2*SQRT(Table11232[[#This Row],[fc (Mpa)]]*145.037)*Table11232[[#This Row],[b (mm)]]*Table11232[[#This Row],[d (mm)]]*(1/25.4)^2)</f>
        <v>0.87337137591661063</v>
      </c>
      <c r="W40" s="8">
        <f>Table11232[[#This Row],[M (KN.mm)]]/$G$45</f>
        <v>0.41666666666666669</v>
      </c>
      <c r="X40" s="8">
        <f>E40*224.8/(2*SQRT(Table11232[[#This Row],[fc (Mpa)]]*145.037)*Table11232[[#This Row],[b (mm)]]*Table11232[[#This Row],[d (mm)]]*(1/25.4)^2+Table11232[[#This Row],[Av fy d/s (N)]]*0.2248)</f>
        <v>0.56643176808938334</v>
      </c>
      <c r="Y40" s="15">
        <v>0.747</v>
      </c>
      <c r="Z40" s="8">
        <f>Table11232[[#This Row],[Av fy/(b S) (Mpa)]]*Table11232[[#This Row],[d (mm)]]*Table11232[[#This Row],[b (mm)]]</f>
        <v>52738.2</v>
      </c>
      <c r="AA40" s="8">
        <f>Table11232[[#This Row],[d (mm)]]/260</f>
        <v>1.3576923076923078</v>
      </c>
      <c r="AB40" s="8">
        <f>Table11232[[#This Row],[a/d]]*Table11232[[#This Row],[d]]</f>
        <v>1080.18</v>
      </c>
      <c r="AC40" s="8">
        <f>Table11232[[#This Row],[d]]</f>
        <v>353</v>
      </c>
      <c r="AD40" s="8">
        <v>400</v>
      </c>
      <c r="AE40" s="5">
        <v>200</v>
      </c>
      <c r="AF40" s="1">
        <v>68.900000000000006</v>
      </c>
      <c r="AG40" s="8">
        <f>Table11232[[#This Row],[pho (%)]]/100*Table11232[[#This Row],[b (mm)]]*Table11232[[#This Row],[d (mm)]]</f>
        <v>1609.6799999999998</v>
      </c>
      <c r="AH40" s="1">
        <v>2.2799999999999998</v>
      </c>
      <c r="AI40" s="8">
        <v>500</v>
      </c>
      <c r="AJ40" s="8">
        <f>(1/3-0.21*(MIN(Table11232[[#This Row],[b (mm)]],AD40)/MAX(Table11232[[#This Row],[b (mm)]],AD40))*(MIN(Table11232[[#This Row],[b (mm)]],AD40)^4/(12*MAX(Table11232[[#This Row],[b (mm)]],AD40)^4)))*MAX(Table11232[[#This Row],[b (mm)]],AD40)*MIN(Table11232[[#This Row],[b (mm)]],AD40)^3</f>
        <v>1064916666.6666665</v>
      </c>
      <c r="AK40" s="8">
        <f>Table11232[[#This Row],[b (mm)]]*AD40^3/12</f>
        <v>1066666666.6666666</v>
      </c>
      <c r="AL40" s="8">
        <v>2600</v>
      </c>
    </row>
    <row r="41" spans="1:38" s="1" customFormat="1" x14ac:dyDescent="0.25">
      <c r="A41" s="56" t="s">
        <v>140</v>
      </c>
      <c r="B41" s="15">
        <v>3</v>
      </c>
      <c r="C41" s="3">
        <v>40</v>
      </c>
      <c r="D41" s="15">
        <v>3.06</v>
      </c>
      <c r="E41" s="15">
        <v>95</v>
      </c>
      <c r="F41" s="15">
        <v>353</v>
      </c>
      <c r="G41" s="8">
        <f t="shared" si="20"/>
        <v>102617.1</v>
      </c>
      <c r="H41" s="8">
        <f t="shared" si="21"/>
        <v>3.6528205010757482E-6</v>
      </c>
      <c r="I41" s="8">
        <f>G41/(Table11232[[#This Row],[b (mm)]]*AC41^2)</f>
        <v>4.117563739376771E-3</v>
      </c>
      <c r="J41" s="8">
        <f t="shared" si="22"/>
        <v>0.36118980169971676</v>
      </c>
      <c r="K41" s="8">
        <f t="shared" si="23"/>
        <v>2.8410464421376036E-6</v>
      </c>
      <c r="L41" s="8">
        <f>E41/(Table11232[[#This Row],[b (mm)]]*AC41)</f>
        <v>1.3456090651558074E-3</v>
      </c>
      <c r="M41" s="8">
        <f>Table11232[[#This Row],[M (KN.mm)]]/(Table11232[[#This Row],[b (mm)]]*Table11232[[#This Row],[d (mm)]])</f>
        <v>1.4535</v>
      </c>
      <c r="N41" s="8">
        <f>Table11232[[#This Row],[M (KN.mm)]]/(Table11232[[#This Row],[b (mm)]]*Table11232[[#This Row],[h (mm)]])</f>
        <v>1.2827137500000001</v>
      </c>
      <c r="O41" s="8">
        <f>Table11232[[#This Row],[M (KN.mm)]]/(Table11232[[#This Row],[b (mm)]]*Table11232[[#This Row],[h (mm)]]*Table11232[[#This Row],[L(mm)]])</f>
        <v>4.9335144230769237E-4</v>
      </c>
      <c r="P41" s="8">
        <f>Table11232[[#This Row],[M (KN.mm)]]/(Table11232[[#This Row],[b (mm)]]*Table11232[[#This Row],[d (mm)]]*Table11232[[#This Row],[L(mm)]])</f>
        <v>5.5903846153846162E-4</v>
      </c>
      <c r="Q41" s="8">
        <f>Table11232[[#This Row],[M (KN.mm)]]/(Table11232[[#This Row],[b (mm)]]*Table11232[[#This Row],[h (mm)]]*Table11232[[#This Row],[L(mm)]]*Table11232[[#This Row],[fc (Mpa)]])</f>
        <v>7.1603982918387845E-6</v>
      </c>
      <c r="R41" s="8">
        <f>Table11232[[#This Row],[M (KN.mm)]]/(Table11232[[#This Row],[b (mm)]]*Table11232[[#This Row],[h (mm)]]*Table11232[[#This Row],[L(mm)]]/2)</f>
        <v>9.8670288461538474E-4</v>
      </c>
      <c r="S41" s="8">
        <f>Table11232[[#This Row],[M (KN.mm)]]/(Table11232[[#This Row],[a (mm)]]*Table11232[[#This Row],[b (mm)]]*Table11232[[#This Row],[h (mm)]]*Table11232[[#This Row],[L(mm)]]/2)</f>
        <v>9.1346153846153856E-7</v>
      </c>
      <c r="T41" s="8">
        <f>G41/($AN$5*AK41*0.001*Table11232[[#This Row],[pho (%)]])</f>
        <v>1.6021142548577845E-6</v>
      </c>
      <c r="U41" s="8">
        <f>Table11232[[#This Row],[M (KN.mm)]]/(Table11232[[#This Row],[b (mm)]]*Table11232[[#This Row],[d (mm)]]*Table11232[[#This Row],[pho (%)]])</f>
        <v>0.63750000000000007</v>
      </c>
      <c r="V41" s="8">
        <f>E41*224.8/(2*SQRT(Table11232[[#This Row],[fc (Mpa)]]*145.037)*Table11232[[#This Row],[b (mm)]]*Table11232[[#This Row],[d (mm)]]*(1/25.4)^2)</f>
        <v>0.97612094955385897</v>
      </c>
      <c r="W41" s="8">
        <f>Table11232[[#This Row],[M (KN.mm)]]/$G$45</f>
        <v>0.46568627450980393</v>
      </c>
      <c r="X41" s="8">
        <f>E41*224.8/(2*SQRT(Table11232[[#This Row],[fc (Mpa)]]*145.037)*Table11232[[#This Row],[b (mm)]]*Table11232[[#This Row],[d (mm)]]*(1/25.4)^2+Table11232[[#This Row],[Av fy d/s (N)]]*0.2248)</f>
        <v>0.63307079962931079</v>
      </c>
      <c r="Y41" s="15">
        <v>0.747</v>
      </c>
      <c r="Z41" s="8">
        <f>Table11232[[#This Row],[Av fy/(b S) (Mpa)]]*Table11232[[#This Row],[d (mm)]]*Table11232[[#This Row],[b (mm)]]</f>
        <v>52738.2</v>
      </c>
      <c r="AA41" s="8">
        <f>Table11232[[#This Row],[d (mm)]]/260</f>
        <v>1.3576923076923078</v>
      </c>
      <c r="AB41" s="8">
        <f>Table11232[[#This Row],[a/d]]*Table11232[[#This Row],[d]]</f>
        <v>1080.18</v>
      </c>
      <c r="AC41" s="8">
        <f>Table11232[[#This Row],[d]]</f>
        <v>353</v>
      </c>
      <c r="AD41" s="8">
        <v>400</v>
      </c>
      <c r="AE41" s="5">
        <v>200</v>
      </c>
      <c r="AF41" s="1">
        <v>68.900000000000006</v>
      </c>
      <c r="AG41" s="8">
        <f>Table11232[[#This Row],[pho (%)]]/100*Table11232[[#This Row],[b (mm)]]*Table11232[[#This Row],[d (mm)]]</f>
        <v>1609.6799999999998</v>
      </c>
      <c r="AH41" s="1">
        <v>2.2799999999999998</v>
      </c>
      <c r="AI41" s="8">
        <v>500</v>
      </c>
      <c r="AJ41" s="8">
        <f>(1/3-0.21*(MIN(Table11232[[#This Row],[b (mm)]],AD41)/MAX(Table11232[[#This Row],[b (mm)]],AD41))*(MIN(Table11232[[#This Row],[b (mm)]],AD41)^4/(12*MAX(Table11232[[#This Row],[b (mm)]],AD41)^4)))*MAX(Table11232[[#This Row],[b (mm)]],AD41)*MIN(Table11232[[#This Row],[b (mm)]],AD41)^3</f>
        <v>1064916666.6666665</v>
      </c>
      <c r="AK41" s="8">
        <f>Table11232[[#This Row],[b (mm)]]*AD41^3/12</f>
        <v>1066666666.6666666</v>
      </c>
      <c r="AL41" s="8">
        <v>2600</v>
      </c>
    </row>
    <row r="42" spans="1:38" s="1" customFormat="1" x14ac:dyDescent="0.25">
      <c r="A42" s="56" t="s">
        <v>140</v>
      </c>
      <c r="B42" s="15">
        <v>4</v>
      </c>
      <c r="C42" s="3">
        <v>41</v>
      </c>
      <c r="D42" s="15">
        <v>3.06</v>
      </c>
      <c r="E42" s="15">
        <v>117</v>
      </c>
      <c r="F42" s="15">
        <v>353</v>
      </c>
      <c r="G42" s="8">
        <f t="shared" si="20"/>
        <v>126381.06000000001</v>
      </c>
      <c r="H42" s="8">
        <f t="shared" si="21"/>
        <v>4.4987368276406581E-6</v>
      </c>
      <c r="I42" s="8">
        <f>G42/(Table11232[[#This Row],[b (mm)]]*AC42^2)</f>
        <v>5.0711048158640229E-3</v>
      </c>
      <c r="J42" s="8">
        <f t="shared" si="22"/>
        <v>0.44483375577754597</v>
      </c>
      <c r="K42" s="8">
        <f t="shared" si="23"/>
        <v>3.4989729866326277E-6</v>
      </c>
      <c r="L42" s="8">
        <f>E42/(Table11232[[#This Row],[b (mm)]]*AC42)</f>
        <v>1.6572237960339943E-3</v>
      </c>
      <c r="M42" s="8">
        <f>Table11232[[#This Row],[M (KN.mm)]]/(Table11232[[#This Row],[b (mm)]]*Table11232[[#This Row],[d (mm)]])</f>
        <v>1.7901000000000002</v>
      </c>
      <c r="N42" s="8">
        <f>Table11232[[#This Row],[M (KN.mm)]]/(Table11232[[#This Row],[b (mm)]]*Table11232[[#This Row],[h (mm)]])</f>
        <v>1.5797632500000001</v>
      </c>
      <c r="O42" s="8">
        <f>Table11232[[#This Row],[M (KN.mm)]]/(Table11232[[#This Row],[b (mm)]]*Table11232[[#This Row],[h (mm)]]*Table11232[[#This Row],[L(mm)]])</f>
        <v>6.0760125000000002E-4</v>
      </c>
      <c r="P42" s="8">
        <f>Table11232[[#This Row],[M (KN.mm)]]/(Table11232[[#This Row],[b (mm)]]*Table11232[[#This Row],[d (mm)]]*Table11232[[#This Row],[L(mm)]])</f>
        <v>6.8850000000000009E-4</v>
      </c>
      <c r="Q42" s="8">
        <f>Table11232[[#This Row],[M (KN.mm)]]/(Table11232[[#This Row],[b (mm)]]*Table11232[[#This Row],[h (mm)]]*Table11232[[#This Row],[L(mm)]]*Table11232[[#This Row],[fc (Mpa)]])</f>
        <v>8.8185957910014504E-6</v>
      </c>
      <c r="R42" s="8">
        <f>Table11232[[#This Row],[M (KN.mm)]]/(Table11232[[#This Row],[b (mm)]]*Table11232[[#This Row],[h (mm)]]*Table11232[[#This Row],[L(mm)]]/2)</f>
        <v>1.2152025E-3</v>
      </c>
      <c r="S42" s="8">
        <f>Table11232[[#This Row],[M (KN.mm)]]/(Table11232[[#This Row],[a (mm)]]*Table11232[[#This Row],[b (mm)]]*Table11232[[#This Row],[h (mm)]]*Table11232[[#This Row],[L(mm)]]/2)</f>
        <v>1.125E-6</v>
      </c>
      <c r="T42" s="8">
        <f>G42/($AN$5*AK42*0.001*Table11232[[#This Row],[pho (%)]])</f>
        <v>1.9731301875616927E-6</v>
      </c>
      <c r="U42" s="8">
        <f>Table11232[[#This Row],[M (KN.mm)]]/(Table11232[[#This Row],[b (mm)]]*Table11232[[#This Row],[d (mm)]]*Table11232[[#This Row],[pho (%)]])</f>
        <v>0.78513157894736851</v>
      </c>
      <c r="V42" s="8">
        <f>E42*224.8/(2*SQRT(Table11232[[#This Row],[fc (Mpa)]]*145.037)*Table11232[[#This Row],[b (mm)]]*Table11232[[#This Row],[d (mm)]]*(1/25.4)^2)</f>
        <v>1.2021700115558054</v>
      </c>
      <c r="W42" s="8">
        <f>Table11232[[#This Row],[M (KN.mm)]]/$G$45</f>
        <v>0.57352941176470595</v>
      </c>
      <c r="X42" s="8">
        <f>E42*224.8/(2*SQRT(Table11232[[#This Row],[fc (Mpa)]]*145.037)*Table11232[[#This Row],[b (mm)]]*Table11232[[#This Row],[d (mm)]]*(1/25.4)^2+Table11232[[#This Row],[Av fy d/s (N)]]*0.2248)</f>
        <v>0.77967666901715127</v>
      </c>
      <c r="Y42" s="15">
        <v>0.747</v>
      </c>
      <c r="Z42" s="8">
        <f>Table11232[[#This Row],[Av fy/(b S) (Mpa)]]*Table11232[[#This Row],[d (mm)]]*Table11232[[#This Row],[b (mm)]]</f>
        <v>52738.2</v>
      </c>
      <c r="AA42" s="8">
        <f>Table11232[[#This Row],[d (mm)]]/260</f>
        <v>1.3576923076923078</v>
      </c>
      <c r="AB42" s="8">
        <f>Table11232[[#This Row],[a/d]]*Table11232[[#This Row],[d]]</f>
        <v>1080.18</v>
      </c>
      <c r="AC42" s="8">
        <f>Table11232[[#This Row],[d]]</f>
        <v>353</v>
      </c>
      <c r="AD42" s="8">
        <v>400</v>
      </c>
      <c r="AE42" s="5">
        <v>200</v>
      </c>
      <c r="AF42" s="1">
        <v>68.900000000000006</v>
      </c>
      <c r="AG42" s="8">
        <f>Table11232[[#This Row],[pho (%)]]/100*Table11232[[#This Row],[b (mm)]]*Table11232[[#This Row],[d (mm)]]</f>
        <v>1609.6799999999998</v>
      </c>
      <c r="AH42" s="1">
        <v>2.2799999999999998</v>
      </c>
      <c r="AI42" s="8">
        <v>500</v>
      </c>
      <c r="AJ42" s="8">
        <f>(1/3-0.21*(MIN(Table11232[[#This Row],[b (mm)]],AD42)/MAX(Table11232[[#This Row],[b (mm)]],AD42))*(MIN(Table11232[[#This Row],[b (mm)]],AD42)^4/(12*MAX(Table11232[[#This Row],[b (mm)]],AD42)^4)))*MAX(Table11232[[#This Row],[b (mm)]],AD42)*MIN(Table11232[[#This Row],[b (mm)]],AD42)^3</f>
        <v>1064916666.6666665</v>
      </c>
      <c r="AK42" s="8">
        <f>Table11232[[#This Row],[b (mm)]]*AD42^3/12</f>
        <v>1066666666.6666666</v>
      </c>
      <c r="AL42" s="8">
        <v>2600</v>
      </c>
    </row>
    <row r="43" spans="1:38" s="1" customFormat="1" x14ac:dyDescent="0.25">
      <c r="A43" s="56" t="s">
        <v>140</v>
      </c>
      <c r="B43" s="15">
        <v>5</v>
      </c>
      <c r="C43" s="3">
        <v>42</v>
      </c>
      <c r="D43" s="15">
        <v>3.06</v>
      </c>
      <c r="E43" s="15">
        <v>140</v>
      </c>
      <c r="F43" s="15">
        <v>353</v>
      </c>
      <c r="G43" s="8">
        <f t="shared" si="20"/>
        <v>151225.20000000001</v>
      </c>
      <c r="H43" s="8">
        <f t="shared" si="21"/>
        <v>5.3831038963221553E-6</v>
      </c>
      <c r="I43" s="8">
        <f>G43/(Table11232[[#This Row],[b (mm)]]*AC43^2)</f>
        <v>6.0679886685552414E-3</v>
      </c>
      <c r="J43" s="8">
        <f t="shared" si="22"/>
        <v>0.53227970776800371</v>
      </c>
      <c r="K43" s="8">
        <f t="shared" si="23"/>
        <v>4.1868052831501528E-6</v>
      </c>
      <c r="L43" s="8">
        <f>E43/(Table11232[[#This Row],[b (mm)]]*AC43)</f>
        <v>1.9830028328611899E-3</v>
      </c>
      <c r="M43" s="8">
        <f>Table11232[[#This Row],[M (KN.mm)]]/(Table11232[[#This Row],[b (mm)]]*Table11232[[#This Row],[d (mm)]])</f>
        <v>2.1420000000000003</v>
      </c>
      <c r="N43" s="8">
        <f>Table11232[[#This Row],[M (KN.mm)]]/(Table11232[[#This Row],[b (mm)]]*Table11232[[#This Row],[h (mm)]])</f>
        <v>1.8903150000000002</v>
      </c>
      <c r="O43" s="8">
        <f>Table11232[[#This Row],[M (KN.mm)]]/(Table11232[[#This Row],[b (mm)]]*Table11232[[#This Row],[h (mm)]]*Table11232[[#This Row],[L(mm)]])</f>
        <v>7.2704423076923081E-4</v>
      </c>
      <c r="P43" s="8">
        <f>Table11232[[#This Row],[M (KN.mm)]]/(Table11232[[#This Row],[b (mm)]]*Table11232[[#This Row],[d (mm)]]*Table11232[[#This Row],[L(mm)]])</f>
        <v>8.2384615384615396E-4</v>
      </c>
      <c r="Q43" s="8">
        <f>Table11232[[#This Row],[M (KN.mm)]]/(Table11232[[#This Row],[b (mm)]]*Table11232[[#This Row],[h (mm)]]*Table11232[[#This Row],[L(mm)]]*Table11232[[#This Row],[fc (Mpa)]])</f>
        <v>1.0552165903762419E-5</v>
      </c>
      <c r="R43" s="8">
        <f>Table11232[[#This Row],[M (KN.mm)]]/(Table11232[[#This Row],[b (mm)]]*Table11232[[#This Row],[h (mm)]]*Table11232[[#This Row],[L(mm)]]/2)</f>
        <v>1.4540884615384616E-3</v>
      </c>
      <c r="S43" s="8">
        <f>Table11232[[#This Row],[M (KN.mm)]]/(Table11232[[#This Row],[a (mm)]]*Table11232[[#This Row],[b (mm)]]*Table11232[[#This Row],[h (mm)]]*Table11232[[#This Row],[L(mm)]]/2)</f>
        <v>1.3461538461538462E-6</v>
      </c>
      <c r="T43" s="8">
        <f>G43/($AN$5*AK43*0.001*Table11232[[#This Row],[pho (%)]])</f>
        <v>2.3610104808430509E-6</v>
      </c>
      <c r="U43" s="8">
        <f>Table11232[[#This Row],[M (KN.mm)]]/(Table11232[[#This Row],[b (mm)]]*Table11232[[#This Row],[d (mm)]]*Table11232[[#This Row],[pho (%)]])</f>
        <v>0.93947368421052635</v>
      </c>
      <c r="V43" s="8">
        <f>E43*224.8/(2*SQRT(Table11232[[#This Row],[fc (Mpa)]]*145.037)*Table11232[[#This Row],[b (mm)]]*Table11232[[#This Row],[d (mm)]]*(1/25.4)^2)</f>
        <v>1.4384940309214764</v>
      </c>
      <c r="W43" s="8">
        <f>Table11232[[#This Row],[M (KN.mm)]]/$G$45</f>
        <v>0.68627450980392157</v>
      </c>
      <c r="X43" s="8">
        <f>E43*224.8/(2*SQRT(Table11232[[#This Row],[fc (Mpa)]]*145.037)*Table11232[[#This Row],[b (mm)]]*Table11232[[#This Row],[d (mm)]]*(1/25.4)^2+Table11232[[#This Row],[Av fy d/s (N)]]*0.2248)</f>
        <v>0.93294644155898432</v>
      </c>
      <c r="Y43" s="15">
        <v>0.747</v>
      </c>
      <c r="Z43" s="8">
        <f>Table11232[[#This Row],[Av fy/(b S) (Mpa)]]*Table11232[[#This Row],[d (mm)]]*Table11232[[#This Row],[b (mm)]]</f>
        <v>52738.2</v>
      </c>
      <c r="AA43" s="8">
        <f>Table11232[[#This Row],[d (mm)]]/260</f>
        <v>1.3576923076923078</v>
      </c>
      <c r="AB43" s="8">
        <f>Table11232[[#This Row],[a/d]]*Table11232[[#This Row],[d]]</f>
        <v>1080.18</v>
      </c>
      <c r="AC43" s="8">
        <f>Table11232[[#This Row],[d]]</f>
        <v>353</v>
      </c>
      <c r="AD43" s="8">
        <v>400</v>
      </c>
      <c r="AE43" s="5">
        <v>200</v>
      </c>
      <c r="AF43" s="1">
        <v>68.900000000000006</v>
      </c>
      <c r="AG43" s="8">
        <f>Table11232[[#This Row],[pho (%)]]/100*Table11232[[#This Row],[b (mm)]]*Table11232[[#This Row],[d (mm)]]</f>
        <v>1609.6799999999998</v>
      </c>
      <c r="AH43" s="1">
        <v>2.2799999999999998</v>
      </c>
      <c r="AI43" s="8">
        <v>500</v>
      </c>
      <c r="AJ43" s="8">
        <f>(1/3-0.21*(MIN(Table11232[[#This Row],[b (mm)]],AD43)/MAX(Table11232[[#This Row],[b (mm)]],AD43))*(MIN(Table11232[[#This Row],[b (mm)]],AD43)^4/(12*MAX(Table11232[[#This Row],[b (mm)]],AD43)^4)))*MAX(Table11232[[#This Row],[b (mm)]],AD43)*MIN(Table11232[[#This Row],[b (mm)]],AD43)^3</f>
        <v>1064916666.6666665</v>
      </c>
      <c r="AK43" s="8">
        <f>Table11232[[#This Row],[b (mm)]]*AD43^3/12</f>
        <v>1066666666.6666666</v>
      </c>
      <c r="AL43" s="8">
        <v>2600</v>
      </c>
    </row>
    <row r="44" spans="1:38" s="1" customFormat="1" x14ac:dyDescent="0.25">
      <c r="A44" s="56" t="s">
        <v>140</v>
      </c>
      <c r="B44" s="15">
        <v>6</v>
      </c>
      <c r="C44" s="3">
        <v>43</v>
      </c>
      <c r="D44" s="15">
        <v>3.06</v>
      </c>
      <c r="E44" s="15">
        <v>167</v>
      </c>
      <c r="F44" s="15">
        <v>353</v>
      </c>
      <c r="G44" s="8">
        <f t="shared" si="20"/>
        <v>180390.06</v>
      </c>
      <c r="H44" s="8">
        <f t="shared" si="21"/>
        <v>6.4212739334699991E-6</v>
      </c>
      <c r="I44" s="8">
        <f>G44/(Table11232[[#This Row],[b (mm)]]*AC44^2)</f>
        <v>7.2382436260623228E-3</v>
      </c>
      <c r="J44" s="8">
        <f t="shared" si="22"/>
        <v>0.63493365140897573</v>
      </c>
      <c r="K44" s="8">
        <f t="shared" si="23"/>
        <v>4.994260587757682E-6</v>
      </c>
      <c r="L44" s="8">
        <f>E44/(Table11232[[#This Row],[b (mm)]]*AC44)</f>
        <v>2.3654390934844194E-3</v>
      </c>
      <c r="M44" s="8">
        <f>Table11232[[#This Row],[M (KN.mm)]]/(Table11232[[#This Row],[b (mm)]]*Table11232[[#This Row],[d (mm)]])</f>
        <v>2.5550999999999999</v>
      </c>
      <c r="N44" s="8">
        <f>Table11232[[#This Row],[M (KN.mm)]]/(Table11232[[#This Row],[b (mm)]]*Table11232[[#This Row],[h (mm)]])</f>
        <v>2.2548757500000001</v>
      </c>
      <c r="O44" s="8">
        <f>Table11232[[#This Row],[M (KN.mm)]]/(Table11232[[#This Row],[b (mm)]]*Table11232[[#This Row],[h (mm)]]*Table11232[[#This Row],[L(mm)]])</f>
        <v>8.6725990384615384E-4</v>
      </c>
      <c r="P44" s="8">
        <f>Table11232[[#This Row],[M (KN.mm)]]/(Table11232[[#This Row],[b (mm)]]*Table11232[[#This Row],[d (mm)]]*Table11232[[#This Row],[L(mm)]])</f>
        <v>9.8273076923076916E-4</v>
      </c>
      <c r="Q44" s="8">
        <f>Table11232[[#This Row],[M (KN.mm)]]/(Table11232[[#This Row],[b (mm)]]*Table11232[[#This Row],[h (mm)]]*Table11232[[#This Row],[L(mm)]]*Table11232[[#This Row],[fc (Mpa)]])</f>
        <v>1.25872264709166E-5</v>
      </c>
      <c r="R44" s="8">
        <f>Table11232[[#This Row],[M (KN.mm)]]/(Table11232[[#This Row],[b (mm)]]*Table11232[[#This Row],[h (mm)]]*Table11232[[#This Row],[L(mm)]]/2)</f>
        <v>1.7345198076923077E-3</v>
      </c>
      <c r="S44" s="8">
        <f>Table11232[[#This Row],[M (KN.mm)]]/(Table11232[[#This Row],[a (mm)]]*Table11232[[#This Row],[b (mm)]]*Table11232[[#This Row],[h (mm)]]*Table11232[[#This Row],[L(mm)]]/2)</f>
        <v>1.6057692307692308E-6</v>
      </c>
      <c r="T44" s="8">
        <f>G44/($AN$5*AK44*0.001*Table11232[[#This Row],[pho (%)]])</f>
        <v>2.8163482164342103E-6</v>
      </c>
      <c r="U44" s="8">
        <f>Table11232[[#This Row],[M (KN.mm)]]/(Table11232[[#This Row],[b (mm)]]*Table11232[[#This Row],[d (mm)]]*Table11232[[#This Row],[pho (%)]])</f>
        <v>1.1206578947368422</v>
      </c>
      <c r="V44" s="8">
        <f>E44*224.8/(2*SQRT(Table11232[[#This Row],[fc (Mpa)]]*145.037)*Table11232[[#This Row],[b (mm)]]*Table11232[[#This Row],[d (mm)]]*(1/25.4)^2)</f>
        <v>1.7159178797420467</v>
      </c>
      <c r="W44" s="8">
        <f>Table11232[[#This Row],[M (KN.mm)]]/$G$45</f>
        <v>0.81862745098039214</v>
      </c>
      <c r="X44" s="8">
        <f>E44*224.8/(2*SQRT(Table11232[[#This Row],[fc (Mpa)]]*145.037)*Table11232[[#This Row],[b (mm)]]*Table11232[[#This Row],[d (mm)]]*(1/25.4)^2+Table11232[[#This Row],[Av fy d/s (N)]]*0.2248)</f>
        <v>1.1128718267167885</v>
      </c>
      <c r="Y44" s="15">
        <v>0.747</v>
      </c>
      <c r="Z44" s="8">
        <f>Table11232[[#This Row],[Av fy/(b S) (Mpa)]]*Table11232[[#This Row],[d (mm)]]*Table11232[[#This Row],[b (mm)]]</f>
        <v>52738.2</v>
      </c>
      <c r="AA44" s="8">
        <f>Table11232[[#This Row],[d (mm)]]/260</f>
        <v>1.3576923076923078</v>
      </c>
      <c r="AB44" s="8">
        <f>Table11232[[#This Row],[a/d]]*Table11232[[#This Row],[d]]</f>
        <v>1080.18</v>
      </c>
      <c r="AC44" s="8">
        <f>Table11232[[#This Row],[d]]</f>
        <v>353</v>
      </c>
      <c r="AD44" s="8">
        <v>400</v>
      </c>
      <c r="AE44" s="5">
        <v>200</v>
      </c>
      <c r="AF44" s="1">
        <v>68.900000000000006</v>
      </c>
      <c r="AG44" s="8">
        <f>Table11232[[#This Row],[pho (%)]]/100*Table11232[[#This Row],[b (mm)]]*Table11232[[#This Row],[d (mm)]]</f>
        <v>1609.6799999999998</v>
      </c>
      <c r="AH44" s="1">
        <v>2.2799999999999998</v>
      </c>
      <c r="AI44" s="8">
        <v>500</v>
      </c>
      <c r="AJ44" s="8">
        <f>(1/3-0.21*(MIN(Table11232[[#This Row],[b (mm)]],AD44)/MAX(Table11232[[#This Row],[b (mm)]],AD44))*(MIN(Table11232[[#This Row],[b (mm)]],AD44)^4/(12*MAX(Table11232[[#This Row],[b (mm)]],AD44)^4)))*MAX(Table11232[[#This Row],[b (mm)]],AD44)*MIN(Table11232[[#This Row],[b (mm)]],AD44)^3</f>
        <v>1064916666.6666665</v>
      </c>
      <c r="AK44" s="8">
        <f>Table11232[[#This Row],[b (mm)]]*AD44^3/12</f>
        <v>1066666666.6666666</v>
      </c>
      <c r="AL44" s="8">
        <v>2600</v>
      </c>
    </row>
    <row r="45" spans="1:38" s="1" customFormat="1" x14ac:dyDescent="0.25">
      <c r="A45" s="56" t="s">
        <v>140</v>
      </c>
      <c r="B45" s="15">
        <v>7</v>
      </c>
      <c r="C45" s="3">
        <v>44</v>
      </c>
      <c r="D45" s="15">
        <v>3.06</v>
      </c>
      <c r="E45" s="15">
        <v>204</v>
      </c>
      <c r="F45" s="15">
        <v>353</v>
      </c>
      <c r="G45" s="8">
        <f t="shared" si="20"/>
        <v>220356.72</v>
      </c>
      <c r="H45" s="8">
        <f t="shared" si="21"/>
        <v>7.8439513917837115E-6</v>
      </c>
      <c r="I45" s="8">
        <f>G45/(Table11232[[#This Row],[b (mm)]]*AC45^2)</f>
        <v>8.8419263456090656E-3</v>
      </c>
      <c r="J45" s="8">
        <f t="shared" si="22"/>
        <v>0.77560757417623394</v>
      </c>
      <c r="K45" s="8">
        <f t="shared" si="23"/>
        <v>6.1007734125902225E-6</v>
      </c>
      <c r="L45" s="8">
        <f>E45/(Table11232[[#This Row],[b (mm)]]*AC45)</f>
        <v>2.8895184135977335E-3</v>
      </c>
      <c r="M45" s="8">
        <f>Table11232[[#This Row],[M (KN.mm)]]/(Table11232[[#This Row],[b (mm)]]*Table11232[[#This Row],[d (mm)]])</f>
        <v>3.1212</v>
      </c>
      <c r="N45" s="8">
        <f>Table11232[[#This Row],[M (KN.mm)]]/(Table11232[[#This Row],[b (mm)]]*Table11232[[#This Row],[h (mm)]])</f>
        <v>2.7544590000000002</v>
      </c>
      <c r="O45" s="8">
        <f>Table11232[[#This Row],[M (KN.mm)]]/(Table11232[[#This Row],[b (mm)]]*Table11232[[#This Row],[h (mm)]]*Table11232[[#This Row],[L(mm)]])</f>
        <v>1.0594073076923077E-3</v>
      </c>
      <c r="P45" s="8">
        <f>Table11232[[#This Row],[M (KN.mm)]]/(Table11232[[#This Row],[b (mm)]]*Table11232[[#This Row],[d (mm)]]*Table11232[[#This Row],[L(mm)]])</f>
        <v>1.2004615384615385E-3</v>
      </c>
      <c r="Q45" s="8">
        <f>Table11232[[#This Row],[M (KN.mm)]]/(Table11232[[#This Row],[b (mm)]]*Table11232[[#This Row],[h (mm)]]*Table11232[[#This Row],[L(mm)]]*Table11232[[#This Row],[fc (Mpa)]])</f>
        <v>1.5376013174053811E-5</v>
      </c>
      <c r="R45" s="8">
        <f>Table11232[[#This Row],[M (KN.mm)]]/(Table11232[[#This Row],[b (mm)]]*Table11232[[#This Row],[h (mm)]]*Table11232[[#This Row],[L(mm)]]/2)</f>
        <v>2.1188146153846153E-3</v>
      </c>
      <c r="S45" s="8">
        <f>Table11232[[#This Row],[M (KN.mm)]]/(Table11232[[#This Row],[a (mm)]]*Table11232[[#This Row],[b (mm)]]*Table11232[[#This Row],[h (mm)]]*Table11232[[#This Row],[L(mm)]]/2)</f>
        <v>1.9615384615384617E-6</v>
      </c>
      <c r="T45" s="8">
        <f>G45/($AN$5*AK45*0.001*Table11232[[#This Row],[pho (%)]])</f>
        <v>3.4403295577998738E-6</v>
      </c>
      <c r="U45" s="8">
        <f>Table11232[[#This Row],[M (KN.mm)]]/(Table11232[[#This Row],[b (mm)]]*Table11232[[#This Row],[d (mm)]]*Table11232[[#This Row],[pho (%)]])</f>
        <v>1.3689473684210527</v>
      </c>
      <c r="V45" s="8">
        <f>E45*224.8/(2*SQRT(Table11232[[#This Row],[fc (Mpa)]]*145.037)*Table11232[[#This Row],[b (mm)]]*Table11232[[#This Row],[d (mm)]]*(1/25.4)^2)</f>
        <v>2.0960913021998659</v>
      </c>
      <c r="W45" s="8">
        <f>Table11232[[#This Row],[M (KN.mm)]]/$G$45</f>
        <v>1</v>
      </c>
      <c r="X45" s="8">
        <f>E45*224.8/(2*SQRT(Table11232[[#This Row],[fc (Mpa)]]*145.037)*Table11232[[#This Row],[b (mm)]]*Table11232[[#This Row],[d (mm)]]*(1/25.4)^2+Table11232[[#This Row],[Av fy d/s (N)]]*0.2248)</f>
        <v>1.3594362434145202</v>
      </c>
      <c r="Y45" s="15">
        <v>0.747</v>
      </c>
      <c r="Z45" s="8">
        <f>Table11232[[#This Row],[Av fy/(b S) (Mpa)]]*Table11232[[#This Row],[d (mm)]]*Table11232[[#This Row],[b (mm)]]</f>
        <v>52738.2</v>
      </c>
      <c r="AA45" s="8">
        <f>Table11232[[#This Row],[d (mm)]]/260</f>
        <v>1.3576923076923078</v>
      </c>
      <c r="AB45" s="8">
        <f>Table11232[[#This Row],[a/d]]*Table11232[[#This Row],[d]]</f>
        <v>1080.18</v>
      </c>
      <c r="AC45" s="8">
        <f>Table11232[[#This Row],[d]]</f>
        <v>353</v>
      </c>
      <c r="AD45" s="8">
        <v>400</v>
      </c>
      <c r="AE45" s="5">
        <v>200</v>
      </c>
      <c r="AF45" s="1">
        <v>68.900000000000006</v>
      </c>
      <c r="AG45" s="8">
        <f>Table11232[[#This Row],[pho (%)]]/100*Table11232[[#This Row],[b (mm)]]*Table11232[[#This Row],[d (mm)]]</f>
        <v>1609.6799999999998</v>
      </c>
      <c r="AH45" s="1">
        <v>2.2799999999999998</v>
      </c>
      <c r="AI45" s="8">
        <v>500</v>
      </c>
      <c r="AJ45" s="8">
        <f>(1/3-0.21*(MIN(Table11232[[#This Row],[b (mm)]],AD45)/MAX(Table11232[[#This Row],[b (mm)]],AD45))*(MIN(Table11232[[#This Row],[b (mm)]],AD45)^4/(12*MAX(Table11232[[#This Row],[b (mm)]],AD45)^4)))*MAX(Table11232[[#This Row],[b (mm)]],AD45)*MIN(Table11232[[#This Row],[b (mm)]],AD45)^3</f>
        <v>1064916666.6666665</v>
      </c>
      <c r="AK45" s="8">
        <f>Table11232[[#This Row],[b (mm)]]*AD45^3/12</f>
        <v>1066666666.6666666</v>
      </c>
      <c r="AL45" s="8">
        <v>2600</v>
      </c>
    </row>
    <row r="46" spans="1:38" s="1" customFormat="1" x14ac:dyDescent="0.25">
      <c r="A46" s="23" t="s">
        <v>141</v>
      </c>
      <c r="B46" s="15">
        <v>1</v>
      </c>
      <c r="C46" s="3">
        <v>45</v>
      </c>
      <c r="D46" s="15">
        <v>3.08</v>
      </c>
      <c r="E46" s="15">
        <v>58</v>
      </c>
      <c r="F46" s="15">
        <v>351</v>
      </c>
      <c r="G46" s="8">
        <f t="shared" ref="G46:G52" si="24">E46*AB46</f>
        <v>62702.64</v>
      </c>
      <c r="H46" s="8">
        <f t="shared" ref="H46:H52" si="25">G46/($AN$5*AK46*0.001)</f>
        <v>2.2320011856071963E-6</v>
      </c>
      <c r="I46" s="8">
        <f>G46/(Table11232[[#This Row],[b (mm)]]*AC46^2)</f>
        <v>2.5447293447293448E-3</v>
      </c>
      <c r="J46" s="8">
        <f t="shared" ref="J46:J52" si="26">G46/(AG46*AI46*AC46*0.001)</f>
        <v>0.22224710434317424</v>
      </c>
      <c r="K46" s="8">
        <f t="shared" ref="K46:K52" si="27">E46/($AN$4*AJ46*0.001)</f>
        <v>1.7345336173050633E-6</v>
      </c>
      <c r="L46" s="8">
        <f>E46/(Table11232[[#This Row],[b (mm)]]*AC46)</f>
        <v>8.2621082621082617E-4</v>
      </c>
      <c r="M46" s="8">
        <f>Table11232[[#This Row],[M (KN.mm)]]/(Table11232[[#This Row],[b (mm)]]*Table11232[[#This Row],[d (mm)]])</f>
        <v>0.89319999999999999</v>
      </c>
      <c r="N46" s="8">
        <f>Table11232[[#This Row],[M (KN.mm)]]/(Table11232[[#This Row],[b (mm)]]*Table11232[[#This Row],[h (mm)]])</f>
        <v>0.78378300000000001</v>
      </c>
      <c r="O46" s="8">
        <f>Table11232[[#This Row],[M (KN.mm)]]/(Table11232[[#This Row],[b (mm)]]*Table11232[[#This Row],[h (mm)]]*Table11232[[#This Row],[L(mm)]])</f>
        <v>3.0145500000000001E-4</v>
      </c>
      <c r="P46" s="8">
        <f>Table11232[[#This Row],[M (KN.mm)]]/(Table11232[[#This Row],[b (mm)]]*Table11232[[#This Row],[d (mm)]]*Table11232[[#This Row],[L(mm)]])</f>
        <v>3.4353846153846153E-4</v>
      </c>
      <c r="Q46" s="8">
        <f>Table11232[[#This Row],[M (KN.mm)]]/(Table11232[[#This Row],[b (mm)]]*Table11232[[#This Row],[h (mm)]]*Table11232[[#This Row],[L(mm)]]*Table11232[[#This Row],[fc (Mpa)]])</f>
        <v>4.3752539912917265E-6</v>
      </c>
      <c r="R46" s="8">
        <f>Table11232[[#This Row],[M (KN.mm)]]/(Table11232[[#This Row],[b (mm)]]*Table11232[[#This Row],[h (mm)]]*Table11232[[#This Row],[L(mm)]]/2)</f>
        <v>6.0291000000000001E-4</v>
      </c>
      <c r="S46" s="8">
        <f>Table11232[[#This Row],[M (KN.mm)]]/(Table11232[[#This Row],[a (mm)]]*Table11232[[#This Row],[b (mm)]]*Table11232[[#This Row],[h (mm)]]*Table11232[[#This Row],[L(mm)]]/2)</f>
        <v>5.5769230769230768E-7</v>
      </c>
      <c r="T46" s="8">
        <f>G46/($AN$5*AK46*0.001*Table11232[[#This Row],[pho (%)]])</f>
        <v>9.7467300681536967E-7</v>
      </c>
      <c r="U46" s="8">
        <f>Table11232[[#This Row],[M (KN.mm)]]/(Table11232[[#This Row],[b (mm)]]*Table11232[[#This Row],[d (mm)]]*Table11232[[#This Row],[pho (%)]])</f>
        <v>0.39004366812227076</v>
      </c>
      <c r="V46" s="8">
        <f>E46*224.8/(2*SQRT(Table11232[[#This Row],[fc (Mpa)]]*145.037)*Table11232[[#This Row],[b (mm)]]*Table11232[[#This Row],[d (mm)]]*(1/25.4)^2)</f>
        <v>0.59934323950114587</v>
      </c>
      <c r="W46" s="8">
        <f>Table11232[[#This Row],[M (KN.mm)]]/$G$52</f>
        <v>0.21561338289962828</v>
      </c>
      <c r="X46" s="8">
        <f>E46*224.8/(2*SQRT(Table11232[[#This Row],[fc (Mpa)]]*145.037)*Table11232[[#This Row],[b (mm)]]*Table11232[[#This Row],[d (mm)]]*(1/25.4)^2+Table11232[[#This Row],[Av fy d/s (N)]]*0.2248)</f>
        <v>0.3123048195358118</v>
      </c>
      <c r="Y46" s="15">
        <v>1.2669999999999999</v>
      </c>
      <c r="Z46" s="8">
        <f>Table11232[[#This Row],[Av fy/(b S) (Mpa)]]*Table11232[[#This Row],[d (mm)]]*Table11232[[#This Row],[b (mm)]]</f>
        <v>88943.4</v>
      </c>
      <c r="AA46" s="8">
        <f>Table11232[[#This Row],[d (mm)]]/260</f>
        <v>1.35</v>
      </c>
      <c r="AB46" s="8">
        <f>Table11232[[#This Row],[a/d]]*Table11232[[#This Row],[d]]</f>
        <v>1081.08</v>
      </c>
      <c r="AC46" s="8">
        <f>Table11232[[#This Row],[d]]</f>
        <v>351</v>
      </c>
      <c r="AD46" s="8">
        <v>400</v>
      </c>
      <c r="AE46" s="5">
        <v>200</v>
      </c>
      <c r="AF46" s="1">
        <v>68.900000000000006</v>
      </c>
      <c r="AG46" s="8">
        <f>Table11232[[#This Row],[pho (%)]]/100*Table11232[[#This Row],[b (mm)]]*Table11232[[#This Row],[d (mm)]]</f>
        <v>1607.58</v>
      </c>
      <c r="AH46" s="1">
        <v>2.29</v>
      </c>
      <c r="AI46" s="8">
        <v>500</v>
      </c>
      <c r="AJ46" s="8">
        <f>(1/3-0.21*(MIN(Table11232[[#This Row],[b (mm)]],AD46)/MAX(Table11232[[#This Row],[b (mm)]],AD46))*(MIN(Table11232[[#This Row],[b (mm)]],AD46)^4/(12*MAX(Table11232[[#This Row],[b (mm)]],AD46)^4)))*MAX(Table11232[[#This Row],[b (mm)]],AD46)*MIN(Table11232[[#This Row],[b (mm)]],AD46)^3</f>
        <v>1064916666.6666665</v>
      </c>
      <c r="AK46" s="8">
        <f>Table11232[[#This Row],[b (mm)]]*AD46^3/12</f>
        <v>1066666666.6666666</v>
      </c>
      <c r="AL46" s="8">
        <v>2600</v>
      </c>
    </row>
    <row r="47" spans="1:38" s="1" customFormat="1" x14ac:dyDescent="0.25">
      <c r="A47" s="23" t="s">
        <v>141</v>
      </c>
      <c r="B47" s="15">
        <v>2</v>
      </c>
      <c r="C47" s="3">
        <v>46</v>
      </c>
      <c r="D47" s="15">
        <v>3.08</v>
      </c>
      <c r="E47" s="15">
        <v>83</v>
      </c>
      <c r="F47" s="15">
        <v>351</v>
      </c>
      <c r="G47" s="8">
        <f t="shared" si="24"/>
        <v>89729.64</v>
      </c>
      <c r="H47" s="8">
        <f t="shared" si="25"/>
        <v>3.1940706621620223E-6</v>
      </c>
      <c r="I47" s="8">
        <f>G47/(Table11232[[#This Row],[b (mm)]]*AC47^2)</f>
        <v>3.6415954415954417E-3</v>
      </c>
      <c r="J47" s="8">
        <f t="shared" si="26"/>
        <v>0.31804327000833554</v>
      </c>
      <c r="K47" s="8">
        <f t="shared" si="27"/>
        <v>2.4821774178675907E-6</v>
      </c>
      <c r="L47" s="8">
        <f>E47/(Table11232[[#This Row],[b (mm)]]*AC47)</f>
        <v>1.1823361823361824E-3</v>
      </c>
      <c r="M47" s="8">
        <f>Table11232[[#This Row],[M (KN.mm)]]/(Table11232[[#This Row],[b (mm)]]*Table11232[[#This Row],[d (mm)]])</f>
        <v>1.2782</v>
      </c>
      <c r="N47" s="8">
        <f>Table11232[[#This Row],[M (KN.mm)]]/(Table11232[[#This Row],[b (mm)]]*Table11232[[#This Row],[h (mm)]])</f>
        <v>1.1216204999999999</v>
      </c>
      <c r="O47" s="8">
        <f>Table11232[[#This Row],[M (KN.mm)]]/(Table11232[[#This Row],[b (mm)]]*Table11232[[#This Row],[h (mm)]]*Table11232[[#This Row],[L(mm)]])</f>
        <v>4.3139250000000001E-4</v>
      </c>
      <c r="P47" s="8">
        <f>Table11232[[#This Row],[M (KN.mm)]]/(Table11232[[#This Row],[b (mm)]]*Table11232[[#This Row],[d (mm)]]*Table11232[[#This Row],[L(mm)]])</f>
        <v>4.9161538461538461E-4</v>
      </c>
      <c r="Q47" s="8">
        <f>Table11232[[#This Row],[M (KN.mm)]]/(Table11232[[#This Row],[b (mm)]]*Table11232[[#This Row],[h (mm)]]*Table11232[[#This Row],[L(mm)]]*Table11232[[#This Row],[fc (Mpa)]])</f>
        <v>6.2611393323657463E-6</v>
      </c>
      <c r="R47" s="8">
        <f>Table11232[[#This Row],[M (KN.mm)]]/(Table11232[[#This Row],[b (mm)]]*Table11232[[#This Row],[h (mm)]]*Table11232[[#This Row],[L(mm)]]/2)</f>
        <v>8.6278500000000003E-4</v>
      </c>
      <c r="S47" s="8">
        <f>Table11232[[#This Row],[M (KN.mm)]]/(Table11232[[#This Row],[a (mm)]]*Table11232[[#This Row],[b (mm)]]*Table11232[[#This Row],[h (mm)]]*Table11232[[#This Row],[L(mm)]]/2)</f>
        <v>7.9807692307692305E-7</v>
      </c>
      <c r="T47" s="8">
        <f>G47/($AN$5*AK47*0.001*Table11232[[#This Row],[pho (%)]])</f>
        <v>1.3947906821668221E-6</v>
      </c>
      <c r="U47" s="8">
        <f>Table11232[[#This Row],[M (KN.mm)]]/(Table11232[[#This Row],[b (mm)]]*Table11232[[#This Row],[d (mm)]]*Table11232[[#This Row],[pho (%)]])</f>
        <v>0.55816593886462884</v>
      </c>
      <c r="V47" s="8">
        <f>E47*224.8/(2*SQRT(Table11232[[#This Row],[fc (Mpa)]]*145.037)*Table11232[[#This Row],[b (mm)]]*Table11232[[#This Row],[d (mm)]]*(1/25.4)^2)</f>
        <v>0.85768084273439837</v>
      </c>
      <c r="W47" s="8">
        <f>Table11232[[#This Row],[M (KN.mm)]]/$G$52</f>
        <v>0.308550185873606</v>
      </c>
      <c r="X47" s="8">
        <f>E47*224.8/(2*SQRT(Table11232[[#This Row],[fc (Mpa)]]*145.037)*Table11232[[#This Row],[b (mm)]]*Table11232[[#This Row],[d (mm)]]*(1/25.4)^2+Table11232[[#This Row],[Av fy d/s (N)]]*0.2248)</f>
        <v>0.44691896588745483</v>
      </c>
      <c r="Y47" s="15">
        <v>1.2669999999999999</v>
      </c>
      <c r="Z47" s="8">
        <f>Table11232[[#This Row],[Av fy/(b S) (Mpa)]]*Table11232[[#This Row],[d (mm)]]*Table11232[[#This Row],[b (mm)]]</f>
        <v>88943.4</v>
      </c>
      <c r="AA47" s="8">
        <f>Table11232[[#This Row],[d (mm)]]/260</f>
        <v>1.35</v>
      </c>
      <c r="AB47" s="8">
        <f>Table11232[[#This Row],[a/d]]*Table11232[[#This Row],[d]]</f>
        <v>1081.08</v>
      </c>
      <c r="AC47" s="8">
        <f>Table11232[[#This Row],[d]]</f>
        <v>351</v>
      </c>
      <c r="AD47" s="8">
        <v>400</v>
      </c>
      <c r="AE47" s="5">
        <v>200</v>
      </c>
      <c r="AF47" s="1">
        <v>68.900000000000006</v>
      </c>
      <c r="AG47" s="8">
        <f>Table11232[[#This Row],[pho (%)]]/100*Table11232[[#This Row],[b (mm)]]*Table11232[[#This Row],[d (mm)]]</f>
        <v>1607.58</v>
      </c>
      <c r="AH47" s="1">
        <v>2.29</v>
      </c>
      <c r="AI47" s="8">
        <v>500</v>
      </c>
      <c r="AJ47" s="8">
        <f>(1/3-0.21*(MIN(Table11232[[#This Row],[b (mm)]],AD47)/MAX(Table11232[[#This Row],[b (mm)]],AD47))*(MIN(Table11232[[#This Row],[b (mm)]],AD47)^4/(12*MAX(Table11232[[#This Row],[b (mm)]],AD47)^4)))*MAX(Table11232[[#This Row],[b (mm)]],AD47)*MIN(Table11232[[#This Row],[b (mm)]],AD47)^3</f>
        <v>1064916666.6666665</v>
      </c>
      <c r="AK47" s="8">
        <f>Table11232[[#This Row],[b (mm)]]*AD47^3/12</f>
        <v>1066666666.6666666</v>
      </c>
      <c r="AL47" s="8">
        <v>2600</v>
      </c>
    </row>
    <row r="48" spans="1:38" s="1" customFormat="1" x14ac:dyDescent="0.25">
      <c r="A48" s="23" t="s">
        <v>141</v>
      </c>
      <c r="B48" s="15">
        <v>3</v>
      </c>
      <c r="C48" s="3">
        <v>47</v>
      </c>
      <c r="D48" s="15">
        <v>3.08</v>
      </c>
      <c r="E48" s="15">
        <v>95</v>
      </c>
      <c r="F48" s="15">
        <v>351</v>
      </c>
      <c r="G48" s="8">
        <f t="shared" si="24"/>
        <v>102702.59999999999</v>
      </c>
      <c r="H48" s="8">
        <f t="shared" si="25"/>
        <v>3.6558640109083388E-6</v>
      </c>
      <c r="I48" s="8">
        <f>G48/(Table11232[[#This Row],[b (mm)]]*AC48^2)</f>
        <v>4.1680911680911674E-3</v>
      </c>
      <c r="J48" s="8">
        <f t="shared" si="26"/>
        <v>0.36402542952761291</v>
      </c>
      <c r="K48" s="8">
        <f t="shared" si="27"/>
        <v>2.8410464421376036E-6</v>
      </c>
      <c r="L48" s="8">
        <f>E48/(Table11232[[#This Row],[b (mm)]]*AC48)</f>
        <v>1.3532763532763533E-3</v>
      </c>
      <c r="M48" s="8">
        <f>Table11232[[#This Row],[M (KN.mm)]]/(Table11232[[#This Row],[b (mm)]]*Table11232[[#This Row],[d (mm)]])</f>
        <v>1.4629999999999999</v>
      </c>
      <c r="N48" s="8">
        <f>Table11232[[#This Row],[M (KN.mm)]]/(Table11232[[#This Row],[b (mm)]]*Table11232[[#This Row],[h (mm)]])</f>
        <v>1.2837824999999998</v>
      </c>
      <c r="O48" s="8">
        <f>Table11232[[#This Row],[M (KN.mm)]]/(Table11232[[#This Row],[b (mm)]]*Table11232[[#This Row],[h (mm)]]*Table11232[[#This Row],[L(mm)]])</f>
        <v>4.9376249999999997E-4</v>
      </c>
      <c r="P48" s="8">
        <f>Table11232[[#This Row],[M (KN.mm)]]/(Table11232[[#This Row],[b (mm)]]*Table11232[[#This Row],[d (mm)]]*Table11232[[#This Row],[L(mm)]])</f>
        <v>5.6269230769230767E-4</v>
      </c>
      <c r="Q48" s="8">
        <f>Table11232[[#This Row],[M (KN.mm)]]/(Table11232[[#This Row],[b (mm)]]*Table11232[[#This Row],[h (mm)]]*Table11232[[#This Row],[L(mm)]]*Table11232[[#This Row],[fc (Mpa)]])</f>
        <v>7.166364296081276E-6</v>
      </c>
      <c r="R48" s="8">
        <f>Table11232[[#This Row],[M (KN.mm)]]/(Table11232[[#This Row],[b (mm)]]*Table11232[[#This Row],[h (mm)]]*Table11232[[#This Row],[L(mm)]]/2)</f>
        <v>9.8752499999999995E-4</v>
      </c>
      <c r="S48" s="8">
        <f>Table11232[[#This Row],[M (KN.mm)]]/(Table11232[[#This Row],[a (mm)]]*Table11232[[#This Row],[b (mm)]]*Table11232[[#This Row],[h (mm)]]*Table11232[[#This Row],[L(mm)]]/2)</f>
        <v>9.1346153846153835E-7</v>
      </c>
      <c r="T48" s="8">
        <f>G48/($AN$5*AK48*0.001*Table11232[[#This Row],[pho (%)]])</f>
        <v>1.5964471663355191E-6</v>
      </c>
      <c r="U48" s="8">
        <f>Table11232[[#This Row],[M (KN.mm)]]/(Table11232[[#This Row],[b (mm)]]*Table11232[[#This Row],[d (mm)]]*Table11232[[#This Row],[pho (%)]])</f>
        <v>0.63886462882096062</v>
      </c>
      <c r="V48" s="8">
        <f>E48*224.8/(2*SQRT(Table11232[[#This Row],[fc (Mpa)]]*145.037)*Table11232[[#This Row],[b (mm)]]*Table11232[[#This Row],[d (mm)]]*(1/25.4)^2)</f>
        <v>0.98168289228635952</v>
      </c>
      <c r="W48" s="8">
        <f>Table11232[[#This Row],[M (KN.mm)]]/$G$52</f>
        <v>0.35315985130111527</v>
      </c>
      <c r="X48" s="8">
        <f>E48*224.8/(2*SQRT(Table11232[[#This Row],[fc (Mpa)]]*145.037)*Table11232[[#This Row],[b (mm)]]*Table11232[[#This Row],[d (mm)]]*(1/25.4)^2+Table11232[[#This Row],[Av fy d/s (N)]]*0.2248)</f>
        <v>0.51153375613624341</v>
      </c>
      <c r="Y48" s="15">
        <v>1.2669999999999999</v>
      </c>
      <c r="Z48" s="8">
        <f>Table11232[[#This Row],[Av fy/(b S) (Mpa)]]*Table11232[[#This Row],[d (mm)]]*Table11232[[#This Row],[b (mm)]]</f>
        <v>88943.4</v>
      </c>
      <c r="AA48" s="8">
        <f>Table11232[[#This Row],[d (mm)]]/260</f>
        <v>1.35</v>
      </c>
      <c r="AB48" s="8">
        <f>Table11232[[#This Row],[a/d]]*Table11232[[#This Row],[d]]</f>
        <v>1081.08</v>
      </c>
      <c r="AC48" s="8">
        <f>Table11232[[#This Row],[d]]</f>
        <v>351</v>
      </c>
      <c r="AD48" s="8">
        <v>400</v>
      </c>
      <c r="AE48" s="5">
        <v>200</v>
      </c>
      <c r="AF48" s="1">
        <v>68.900000000000006</v>
      </c>
      <c r="AG48" s="8">
        <f>Table11232[[#This Row],[pho (%)]]/100*Table11232[[#This Row],[b (mm)]]*Table11232[[#This Row],[d (mm)]]</f>
        <v>1607.58</v>
      </c>
      <c r="AH48" s="1">
        <v>2.29</v>
      </c>
      <c r="AI48" s="8">
        <v>500</v>
      </c>
      <c r="AJ48" s="8">
        <f>(1/3-0.21*(MIN(Table11232[[#This Row],[b (mm)]],AD48)/MAX(Table11232[[#This Row],[b (mm)]],AD48))*(MIN(Table11232[[#This Row],[b (mm)]],AD48)^4/(12*MAX(Table11232[[#This Row],[b (mm)]],AD48)^4)))*MAX(Table11232[[#This Row],[b (mm)]],AD48)*MIN(Table11232[[#This Row],[b (mm)]],AD48)^3</f>
        <v>1064916666.6666665</v>
      </c>
      <c r="AK48" s="8">
        <f>Table11232[[#This Row],[b (mm)]]*AD48^3/12</f>
        <v>1066666666.6666666</v>
      </c>
      <c r="AL48" s="8">
        <v>2600</v>
      </c>
    </row>
    <row r="49" spans="1:43" x14ac:dyDescent="0.25">
      <c r="A49" s="23" t="s">
        <v>141</v>
      </c>
      <c r="B49" s="15">
        <v>4</v>
      </c>
      <c r="C49" s="3">
        <v>48</v>
      </c>
      <c r="D49" s="15">
        <v>3.08</v>
      </c>
      <c r="E49" s="15">
        <v>117</v>
      </c>
      <c r="F49" s="15">
        <v>351</v>
      </c>
      <c r="G49" s="8">
        <f t="shared" si="24"/>
        <v>126486.35999999999</v>
      </c>
      <c r="H49" s="8">
        <f t="shared" si="25"/>
        <v>4.5024851502765853E-6</v>
      </c>
      <c r="I49" s="8">
        <f>G49/(Table11232[[#This Row],[b (mm)]]*AC49^2)</f>
        <v>5.1333333333333326E-3</v>
      </c>
      <c r="J49" s="8">
        <f t="shared" si="26"/>
        <v>0.44832605531295489</v>
      </c>
      <c r="K49" s="8">
        <f t="shared" si="27"/>
        <v>3.4989729866326277E-6</v>
      </c>
      <c r="L49" s="8">
        <f>E49/(Table11232[[#This Row],[b (mm)]]*AC49)</f>
        <v>1.6666666666666668E-3</v>
      </c>
      <c r="M49" s="8">
        <f>Table11232[[#This Row],[M (KN.mm)]]/(Table11232[[#This Row],[b (mm)]]*Table11232[[#This Row],[d (mm)]])</f>
        <v>1.8017999999999998</v>
      </c>
      <c r="N49" s="8">
        <f>Table11232[[#This Row],[M (KN.mm)]]/(Table11232[[#This Row],[b (mm)]]*Table11232[[#This Row],[h (mm)]])</f>
        <v>1.5810794999999997</v>
      </c>
      <c r="O49" s="8">
        <f>Table11232[[#This Row],[M (KN.mm)]]/(Table11232[[#This Row],[b (mm)]]*Table11232[[#This Row],[h (mm)]]*Table11232[[#This Row],[L(mm)]])</f>
        <v>6.0810749999999994E-4</v>
      </c>
      <c r="P49" s="8">
        <f>Table11232[[#This Row],[M (KN.mm)]]/(Table11232[[#This Row],[b (mm)]]*Table11232[[#This Row],[d (mm)]]*Table11232[[#This Row],[L(mm)]])</f>
        <v>6.9299999999999993E-4</v>
      </c>
      <c r="Q49" s="8">
        <f>Table11232[[#This Row],[M (KN.mm)]]/(Table11232[[#This Row],[b (mm)]]*Table11232[[#This Row],[h (mm)]]*Table11232[[#This Row],[L(mm)]]*Table11232[[#This Row],[fc (Mpa)]])</f>
        <v>8.8259433962264127E-6</v>
      </c>
      <c r="R49" s="8">
        <f>Table11232[[#This Row],[M (KN.mm)]]/(Table11232[[#This Row],[b (mm)]]*Table11232[[#This Row],[h (mm)]]*Table11232[[#This Row],[L(mm)]]/2)</f>
        <v>1.2162149999999999E-3</v>
      </c>
      <c r="S49" s="8">
        <f>Table11232[[#This Row],[M (KN.mm)]]/(Table11232[[#This Row],[a (mm)]]*Table11232[[#This Row],[b (mm)]]*Table11232[[#This Row],[h (mm)]]*Table11232[[#This Row],[L(mm)]]/2)</f>
        <v>1.1249999999999998E-6</v>
      </c>
      <c r="T49" s="8">
        <f>G49/($AN$5*AK49*0.001*Table11232[[#This Row],[pho (%)]])</f>
        <v>1.9661507206447974E-6</v>
      </c>
      <c r="U49" s="8">
        <f>Table11232[[#This Row],[M (KN.mm)]]/(Table11232[[#This Row],[b (mm)]]*Table11232[[#This Row],[d (mm)]]*Table11232[[#This Row],[pho (%)]])</f>
        <v>0.7868122270742357</v>
      </c>
      <c r="V49" s="8">
        <f>E49*224.8/(2*SQRT(Table11232[[#This Row],[fc (Mpa)]]*145.037)*Table11232[[#This Row],[b (mm)]]*Table11232[[#This Row],[d (mm)]]*(1/25.4)^2)</f>
        <v>1.209019983131622</v>
      </c>
      <c r="W49" s="8">
        <f>Table11232[[#This Row],[M (KN.mm)]]/$G$52</f>
        <v>0.43494423791821563</v>
      </c>
      <c r="X49" s="8">
        <f>E49*224.8/(2*SQRT(Table11232[[#This Row],[fc (Mpa)]]*145.037)*Table11232[[#This Row],[b (mm)]]*Table11232[[#This Row],[d (mm)]]*(1/25.4)^2+Table11232[[#This Row],[Av fy d/s (N)]]*0.2248)</f>
        <v>0.62999420492568936</v>
      </c>
      <c r="Y49" s="15">
        <v>1.2669999999999999</v>
      </c>
      <c r="Z49" s="8">
        <f>Table11232[[#This Row],[Av fy/(b S) (Mpa)]]*Table11232[[#This Row],[d (mm)]]*Table11232[[#This Row],[b (mm)]]</f>
        <v>88943.4</v>
      </c>
      <c r="AA49" s="8">
        <f>Table11232[[#This Row],[d (mm)]]/260</f>
        <v>1.35</v>
      </c>
      <c r="AB49" s="8">
        <f>Table11232[[#This Row],[a/d]]*Table11232[[#This Row],[d]]</f>
        <v>1081.08</v>
      </c>
      <c r="AC49" s="8">
        <f>Table11232[[#This Row],[d]]</f>
        <v>351</v>
      </c>
      <c r="AD49" s="8">
        <v>400</v>
      </c>
      <c r="AE49" s="5">
        <v>200</v>
      </c>
      <c r="AF49" s="1">
        <v>68.900000000000006</v>
      </c>
      <c r="AG49" s="8">
        <f>Table11232[[#This Row],[pho (%)]]/100*Table11232[[#This Row],[b (mm)]]*Table11232[[#This Row],[d (mm)]]</f>
        <v>1607.58</v>
      </c>
      <c r="AH49" s="1">
        <v>2.29</v>
      </c>
      <c r="AI49" s="8">
        <v>500</v>
      </c>
      <c r="AJ49" s="8">
        <f>(1/3-0.21*(MIN(Table11232[[#This Row],[b (mm)]],AD49)/MAX(Table11232[[#This Row],[b (mm)]],AD49))*(MIN(Table11232[[#This Row],[b (mm)]],AD49)^4/(12*MAX(Table11232[[#This Row],[b (mm)]],AD49)^4)))*MAX(Table11232[[#This Row],[b (mm)]],AD49)*MIN(Table11232[[#This Row],[b (mm)]],AD49)^3</f>
        <v>1064916666.6666665</v>
      </c>
      <c r="AK49" s="8">
        <f>Table11232[[#This Row],[b (mm)]]*AD49^3/12</f>
        <v>1066666666.6666666</v>
      </c>
      <c r="AL49" s="8">
        <v>2600</v>
      </c>
      <c r="AM49" s="1"/>
      <c r="AN49" s="1"/>
    </row>
    <row r="50" spans="1:43" x14ac:dyDescent="0.25">
      <c r="A50" s="23" t="s">
        <v>141</v>
      </c>
      <c r="B50" s="15">
        <v>5</v>
      </c>
      <c r="C50" s="3">
        <v>49</v>
      </c>
      <c r="D50" s="15">
        <v>3.08</v>
      </c>
      <c r="E50" s="15">
        <v>140</v>
      </c>
      <c r="F50" s="15">
        <v>351</v>
      </c>
      <c r="G50" s="8">
        <f t="shared" si="24"/>
        <v>151351.19999999998</v>
      </c>
      <c r="H50" s="8">
        <f t="shared" si="25"/>
        <v>5.3875890687070248E-6</v>
      </c>
      <c r="I50" s="8">
        <f>G50/(Table11232[[#This Row],[b (mm)]]*AC50^2)</f>
        <v>6.1424501424501418E-3</v>
      </c>
      <c r="J50" s="8">
        <f t="shared" si="26"/>
        <v>0.53645852772490321</v>
      </c>
      <c r="K50" s="8">
        <f t="shared" si="27"/>
        <v>4.1868052831501528E-6</v>
      </c>
      <c r="L50" s="8">
        <f>E50/(Table11232[[#This Row],[b (mm)]]*AC50)</f>
        <v>1.9943019943019944E-3</v>
      </c>
      <c r="M50" s="8">
        <f>Table11232[[#This Row],[M (KN.mm)]]/(Table11232[[#This Row],[b (mm)]]*Table11232[[#This Row],[d (mm)]])</f>
        <v>2.1559999999999997</v>
      </c>
      <c r="N50" s="8">
        <f>Table11232[[#This Row],[M (KN.mm)]]/(Table11232[[#This Row],[b (mm)]]*Table11232[[#This Row],[h (mm)]])</f>
        <v>1.8918899999999998</v>
      </c>
      <c r="O50" s="8">
        <f>Table11232[[#This Row],[M (KN.mm)]]/(Table11232[[#This Row],[b (mm)]]*Table11232[[#This Row],[h (mm)]]*Table11232[[#This Row],[L(mm)]])</f>
        <v>7.2764999999999993E-4</v>
      </c>
      <c r="P50" s="8">
        <f>Table11232[[#This Row],[M (KN.mm)]]/(Table11232[[#This Row],[b (mm)]]*Table11232[[#This Row],[d (mm)]]*Table11232[[#This Row],[L(mm)]])</f>
        <v>8.2923076923076917E-4</v>
      </c>
      <c r="Q50" s="8">
        <f>Table11232[[#This Row],[M (KN.mm)]]/(Table11232[[#This Row],[b (mm)]]*Table11232[[#This Row],[h (mm)]]*Table11232[[#This Row],[L(mm)]]*Table11232[[#This Row],[fc (Mpa)]])</f>
        <v>1.0560957910014511E-5</v>
      </c>
      <c r="R50" s="8">
        <f>Table11232[[#This Row],[M (KN.mm)]]/(Table11232[[#This Row],[b (mm)]]*Table11232[[#This Row],[h (mm)]]*Table11232[[#This Row],[L(mm)]]/2)</f>
        <v>1.4552999999999999E-3</v>
      </c>
      <c r="S50" s="8">
        <f>Table11232[[#This Row],[M (KN.mm)]]/(Table11232[[#This Row],[a (mm)]]*Table11232[[#This Row],[b (mm)]]*Table11232[[#This Row],[h (mm)]]*Table11232[[#This Row],[L(mm)]]/2)</f>
        <v>1.346153846153846E-6</v>
      </c>
      <c r="T50" s="8">
        <f>G50/($AN$5*AK50*0.001*Table11232[[#This Row],[pho (%)]])</f>
        <v>2.3526589819681334E-6</v>
      </c>
      <c r="U50" s="8">
        <f>Table11232[[#This Row],[M (KN.mm)]]/(Table11232[[#This Row],[b (mm)]]*Table11232[[#This Row],[d (mm)]]*Table11232[[#This Row],[pho (%)]])</f>
        <v>0.94148471615720508</v>
      </c>
      <c r="V50" s="8">
        <f>E50*224.8/(2*SQRT(Table11232[[#This Row],[fc (Mpa)]]*145.037)*Table11232[[#This Row],[b (mm)]]*Table11232[[#This Row],[d (mm)]]*(1/25.4)^2)</f>
        <v>1.446690578106214</v>
      </c>
      <c r="W50" s="8">
        <f>Table11232[[#This Row],[M (KN.mm)]]/$G$52</f>
        <v>0.5204460966542751</v>
      </c>
      <c r="X50" s="8">
        <f>E50*224.8/(2*SQRT(Table11232[[#This Row],[fc (Mpa)]]*145.037)*Table11232[[#This Row],[b (mm)]]*Table11232[[#This Row],[d (mm)]]*(1/25.4)^2+Table11232[[#This Row],[Av fy d/s (N)]]*0.2248)</f>
        <v>0.75383921956920086</v>
      </c>
      <c r="Y50" s="15">
        <v>1.2669999999999999</v>
      </c>
      <c r="Z50" s="8">
        <f>Table11232[[#This Row],[Av fy/(b S) (Mpa)]]*Table11232[[#This Row],[d (mm)]]*Table11232[[#This Row],[b (mm)]]</f>
        <v>88943.4</v>
      </c>
      <c r="AA50" s="8">
        <f>Table11232[[#This Row],[d (mm)]]/260</f>
        <v>1.35</v>
      </c>
      <c r="AB50" s="8">
        <f>Table11232[[#This Row],[a/d]]*Table11232[[#This Row],[d]]</f>
        <v>1081.08</v>
      </c>
      <c r="AC50" s="8">
        <f>Table11232[[#This Row],[d]]</f>
        <v>351</v>
      </c>
      <c r="AD50" s="8">
        <v>400</v>
      </c>
      <c r="AE50" s="5">
        <v>200</v>
      </c>
      <c r="AF50" s="1">
        <v>68.900000000000006</v>
      </c>
      <c r="AG50" s="8">
        <f>Table11232[[#This Row],[pho (%)]]/100*Table11232[[#This Row],[b (mm)]]*Table11232[[#This Row],[d (mm)]]</f>
        <v>1607.58</v>
      </c>
      <c r="AH50" s="1">
        <v>2.29</v>
      </c>
      <c r="AI50" s="8">
        <v>500</v>
      </c>
      <c r="AJ50" s="8">
        <f>(1/3-0.21*(MIN(Table11232[[#This Row],[b (mm)]],AD50)/MAX(Table11232[[#This Row],[b (mm)]],AD50))*(MIN(Table11232[[#This Row],[b (mm)]],AD50)^4/(12*MAX(Table11232[[#This Row],[b (mm)]],AD50)^4)))*MAX(Table11232[[#This Row],[b (mm)]],AD50)*MIN(Table11232[[#This Row],[b (mm)]],AD50)^3</f>
        <v>1064916666.6666665</v>
      </c>
      <c r="AK50" s="8">
        <f>Table11232[[#This Row],[b (mm)]]*AD50^3/12</f>
        <v>1066666666.6666666</v>
      </c>
      <c r="AL50" s="8">
        <v>2600</v>
      </c>
      <c r="AM50" s="1"/>
      <c r="AN50" s="1"/>
    </row>
    <row r="51" spans="1:43" x14ac:dyDescent="0.25">
      <c r="A51" s="23" t="s">
        <v>141</v>
      </c>
      <c r="B51" s="15">
        <v>6</v>
      </c>
      <c r="C51" s="3">
        <v>50</v>
      </c>
      <c r="D51" s="15">
        <v>3.08</v>
      </c>
      <c r="E51" s="15">
        <v>167</v>
      </c>
      <c r="F51" s="15">
        <v>351</v>
      </c>
      <c r="G51" s="8">
        <f t="shared" si="24"/>
        <v>180540.36</v>
      </c>
      <c r="H51" s="8">
        <f t="shared" si="25"/>
        <v>6.4266241033862372E-6</v>
      </c>
      <c r="I51" s="8">
        <f>G51/(Table11232[[#This Row],[b (mm)]]*AC51^2)</f>
        <v>7.3270655270655264E-3</v>
      </c>
      <c r="J51" s="8">
        <f t="shared" si="26"/>
        <v>0.63991838664327749</v>
      </c>
      <c r="K51" s="8">
        <f t="shared" si="27"/>
        <v>4.994260587757682E-6</v>
      </c>
      <c r="L51" s="8">
        <f>E51/(Table11232[[#This Row],[b (mm)]]*AC51)</f>
        <v>2.3789173789173787E-3</v>
      </c>
      <c r="M51" s="8">
        <f>Table11232[[#This Row],[M (KN.mm)]]/(Table11232[[#This Row],[b (mm)]]*Table11232[[#This Row],[d (mm)]])</f>
        <v>2.5717999999999996</v>
      </c>
      <c r="N51" s="8">
        <f>Table11232[[#This Row],[M (KN.mm)]]/(Table11232[[#This Row],[b (mm)]]*Table11232[[#This Row],[h (mm)]])</f>
        <v>2.2567545</v>
      </c>
      <c r="O51" s="8">
        <f>Table11232[[#This Row],[M (KN.mm)]]/(Table11232[[#This Row],[b (mm)]]*Table11232[[#This Row],[h (mm)]]*Table11232[[#This Row],[L(mm)]])</f>
        <v>8.6798249999999995E-4</v>
      </c>
      <c r="P51" s="8">
        <f>Table11232[[#This Row],[M (KN.mm)]]/(Table11232[[#This Row],[b (mm)]]*Table11232[[#This Row],[d (mm)]]*Table11232[[#This Row],[L(mm)]])</f>
        <v>9.8915384615384599E-4</v>
      </c>
      <c r="Q51" s="8">
        <f>Table11232[[#This Row],[M (KN.mm)]]/(Table11232[[#This Row],[b (mm)]]*Table11232[[#This Row],[h (mm)]]*Table11232[[#This Row],[L(mm)]]*Table11232[[#This Row],[fc (Mpa)]])</f>
        <v>1.2597714078374454E-5</v>
      </c>
      <c r="R51" s="8">
        <f>Table11232[[#This Row],[M (KN.mm)]]/(Table11232[[#This Row],[b (mm)]]*Table11232[[#This Row],[h (mm)]]*Table11232[[#This Row],[L(mm)]]/2)</f>
        <v>1.7359649999999999E-3</v>
      </c>
      <c r="S51" s="8">
        <f>Table11232[[#This Row],[M (KN.mm)]]/(Table11232[[#This Row],[a (mm)]]*Table11232[[#This Row],[b (mm)]]*Table11232[[#This Row],[h (mm)]]*Table11232[[#This Row],[L(mm)]]/2)</f>
        <v>1.6057692307692306E-6</v>
      </c>
      <c r="T51" s="8">
        <f>G51/($AN$5*AK51*0.001*Table11232[[#This Row],[pho (%)]])</f>
        <v>2.8063860713477019E-6</v>
      </c>
      <c r="U51" s="8">
        <f>Table11232[[#This Row],[M (KN.mm)]]/(Table11232[[#This Row],[b (mm)]]*Table11232[[#This Row],[d (mm)]]*Table11232[[#This Row],[pho (%)]])</f>
        <v>1.1230567685589519</v>
      </c>
      <c r="V51" s="8">
        <f>E51*224.8/(2*SQRT(Table11232[[#This Row],[fc (Mpa)]]*145.037)*Table11232[[#This Row],[b (mm)]]*Table11232[[#This Row],[d (mm)]]*(1/25.4)^2)</f>
        <v>1.7256951895981267</v>
      </c>
      <c r="W51" s="8">
        <f>Table11232[[#This Row],[M (KN.mm)]]/$G$52</f>
        <v>0.620817843866171</v>
      </c>
      <c r="X51" s="8">
        <f>E51*224.8/(2*SQRT(Table11232[[#This Row],[fc (Mpa)]]*145.037)*Table11232[[#This Row],[b (mm)]]*Table11232[[#This Row],[d (mm)]]*(1/25.4)^2+Table11232[[#This Row],[Av fy d/s (N)]]*0.2248)</f>
        <v>0.89922249762897521</v>
      </c>
      <c r="Y51" s="15">
        <v>1.2669999999999999</v>
      </c>
      <c r="Z51" s="8">
        <f>Table11232[[#This Row],[Av fy/(b S) (Mpa)]]*Table11232[[#This Row],[d (mm)]]*Table11232[[#This Row],[b (mm)]]</f>
        <v>88943.4</v>
      </c>
      <c r="AA51" s="8">
        <f>Table11232[[#This Row],[d (mm)]]/260</f>
        <v>1.35</v>
      </c>
      <c r="AB51" s="8">
        <f>Table11232[[#This Row],[a/d]]*Table11232[[#This Row],[d]]</f>
        <v>1081.08</v>
      </c>
      <c r="AC51" s="8">
        <f>Table11232[[#This Row],[d]]</f>
        <v>351</v>
      </c>
      <c r="AD51" s="8">
        <v>400</v>
      </c>
      <c r="AE51" s="5">
        <v>200</v>
      </c>
      <c r="AF51" s="1">
        <v>68.900000000000006</v>
      </c>
      <c r="AG51" s="8">
        <f>Table11232[[#This Row],[pho (%)]]/100*Table11232[[#This Row],[b (mm)]]*Table11232[[#This Row],[d (mm)]]</f>
        <v>1607.58</v>
      </c>
      <c r="AH51" s="1">
        <v>2.29</v>
      </c>
      <c r="AI51" s="8">
        <v>500</v>
      </c>
      <c r="AJ51" s="8">
        <f>(1/3-0.21*(MIN(Table11232[[#This Row],[b (mm)]],AD51)/MAX(Table11232[[#This Row],[b (mm)]],AD51))*(MIN(Table11232[[#This Row],[b (mm)]],AD51)^4/(12*MAX(Table11232[[#This Row],[b (mm)]],AD51)^4)))*MAX(Table11232[[#This Row],[b (mm)]],AD51)*MIN(Table11232[[#This Row],[b (mm)]],AD51)^3</f>
        <v>1064916666.6666665</v>
      </c>
      <c r="AK51" s="8">
        <f>Table11232[[#This Row],[b (mm)]]*AD51^3/12</f>
        <v>1066666666.6666666</v>
      </c>
      <c r="AL51" s="8">
        <v>2600</v>
      </c>
      <c r="AM51" s="1"/>
      <c r="AN51" s="1"/>
    </row>
    <row r="52" spans="1:43" x14ac:dyDescent="0.25">
      <c r="A52" s="23" t="s">
        <v>141</v>
      </c>
      <c r="B52" s="15">
        <v>7</v>
      </c>
      <c r="C52" s="3">
        <v>51</v>
      </c>
      <c r="D52" s="15">
        <v>3.08</v>
      </c>
      <c r="E52" s="15">
        <v>269</v>
      </c>
      <c r="F52" s="15">
        <v>351</v>
      </c>
      <c r="G52" s="8">
        <f t="shared" si="24"/>
        <v>290810.51999999996</v>
      </c>
      <c r="H52" s="8">
        <f t="shared" si="25"/>
        <v>1.0351867567729926E-5</v>
      </c>
      <c r="I52" s="8">
        <f>G52/(Table11232[[#This Row],[b (mm)]]*AC52^2)</f>
        <v>1.1802279202279201E-2</v>
      </c>
      <c r="J52" s="8">
        <f t="shared" si="26"/>
        <v>1.0307667425571354</v>
      </c>
      <c r="K52" s="8">
        <f t="shared" si="27"/>
        <v>8.0446472940527946E-6</v>
      </c>
      <c r="L52" s="8">
        <f>E52/(Table11232[[#This Row],[b (mm)]]*AC52)</f>
        <v>3.8319088319088319E-3</v>
      </c>
      <c r="M52" s="8">
        <f>Table11232[[#This Row],[M (KN.mm)]]/(Table11232[[#This Row],[b (mm)]]*Table11232[[#This Row],[d (mm)]])</f>
        <v>4.1425999999999998</v>
      </c>
      <c r="N52" s="8">
        <f>Table11232[[#This Row],[M (KN.mm)]]/(Table11232[[#This Row],[b (mm)]]*Table11232[[#This Row],[h (mm)]])</f>
        <v>3.6351314999999995</v>
      </c>
      <c r="O52" s="8">
        <f>Table11232[[#This Row],[M (KN.mm)]]/(Table11232[[#This Row],[b (mm)]]*Table11232[[#This Row],[h (mm)]]*Table11232[[#This Row],[L(mm)]])</f>
        <v>1.3981274999999998E-3</v>
      </c>
      <c r="P52" s="8">
        <f>Table11232[[#This Row],[M (KN.mm)]]/(Table11232[[#This Row],[b (mm)]]*Table11232[[#This Row],[d (mm)]]*Table11232[[#This Row],[L(mm)]])</f>
        <v>1.593307692307692E-3</v>
      </c>
      <c r="Q52" s="8">
        <f>Table11232[[#This Row],[M (KN.mm)]]/(Table11232[[#This Row],[b (mm)]]*Table11232[[#This Row],[h (mm)]]*Table11232[[#This Row],[L(mm)]]*Table11232[[#This Row],[fc (Mpa)]])</f>
        <v>2.0292126269956454E-5</v>
      </c>
      <c r="R52" s="8">
        <f>Table11232[[#This Row],[M (KN.mm)]]/(Table11232[[#This Row],[b (mm)]]*Table11232[[#This Row],[h (mm)]]*Table11232[[#This Row],[L(mm)]]/2)</f>
        <v>2.7962549999999997E-3</v>
      </c>
      <c r="S52" s="8">
        <f>Table11232[[#This Row],[M (KN.mm)]]/(Table11232[[#This Row],[a (mm)]]*Table11232[[#This Row],[b (mm)]]*Table11232[[#This Row],[h (mm)]]*Table11232[[#This Row],[L(mm)]]/2)</f>
        <v>2.5865384615384612E-6</v>
      </c>
      <c r="T52" s="8">
        <f>G52/($AN$5*AK52*0.001*Table11232[[#This Row],[pho (%)]])</f>
        <v>4.5204661867816277E-6</v>
      </c>
      <c r="U52" s="8">
        <f>Table11232[[#This Row],[M (KN.mm)]]/(Table11232[[#This Row],[b (mm)]]*Table11232[[#This Row],[d (mm)]]*Table11232[[#This Row],[pho (%)]])</f>
        <v>1.8089956331877728</v>
      </c>
      <c r="V52" s="8">
        <f>E52*224.8/(2*SQRT(Table11232[[#This Row],[fc (Mpa)]]*145.037)*Table11232[[#This Row],[b (mm)]]*Table11232[[#This Row],[d (mm)]]*(1/25.4)^2)</f>
        <v>2.7797126107897974</v>
      </c>
      <c r="W52" s="8">
        <f>Table11232[[#This Row],[M (KN.mm)]]/$G$52</f>
        <v>1</v>
      </c>
      <c r="X52" s="8">
        <f>E52*224.8/(2*SQRT(Table11232[[#This Row],[fc (Mpa)]]*145.037)*Table11232[[#This Row],[b (mm)]]*Table11232[[#This Row],[d (mm)]]*(1/25.4)^2+Table11232[[#This Row],[Av fy d/s (N)]]*0.2248)</f>
        <v>1.4484482147436788</v>
      </c>
      <c r="Y52" s="15">
        <v>1.2669999999999999</v>
      </c>
      <c r="Z52" s="8">
        <f>Table11232[[#This Row],[Av fy/(b S) (Mpa)]]*Table11232[[#This Row],[d (mm)]]*Table11232[[#This Row],[b (mm)]]</f>
        <v>88943.4</v>
      </c>
      <c r="AA52" s="8">
        <f>Table11232[[#This Row],[d (mm)]]/260</f>
        <v>1.35</v>
      </c>
      <c r="AB52" s="8">
        <f>Table11232[[#This Row],[a/d]]*Table11232[[#This Row],[d]]</f>
        <v>1081.08</v>
      </c>
      <c r="AC52" s="8">
        <f>Table11232[[#This Row],[d]]</f>
        <v>351</v>
      </c>
      <c r="AD52" s="8">
        <v>400</v>
      </c>
      <c r="AE52" s="5">
        <v>200</v>
      </c>
      <c r="AF52" s="1">
        <v>68.900000000000006</v>
      </c>
      <c r="AG52" s="8">
        <f>Table11232[[#This Row],[pho (%)]]/100*Table11232[[#This Row],[b (mm)]]*Table11232[[#This Row],[d (mm)]]</f>
        <v>1607.58</v>
      </c>
      <c r="AH52" s="1">
        <v>2.29</v>
      </c>
      <c r="AI52" s="8">
        <v>500</v>
      </c>
      <c r="AJ52" s="8">
        <f>(1/3-0.21*(MIN(Table11232[[#This Row],[b (mm)]],AD52)/MAX(Table11232[[#This Row],[b (mm)]],AD52))*(MIN(Table11232[[#This Row],[b (mm)]],AD52)^4/(12*MAX(Table11232[[#This Row],[b (mm)]],AD52)^4)))*MAX(Table11232[[#This Row],[b (mm)]],AD52)*MIN(Table11232[[#This Row],[b (mm)]],AD52)^3</f>
        <v>1064916666.6666665</v>
      </c>
      <c r="AK52" s="8">
        <f>Table11232[[#This Row],[b (mm)]]*AD52^3/12</f>
        <v>1066666666.6666666</v>
      </c>
      <c r="AL52" s="8">
        <v>2600</v>
      </c>
      <c r="AM52" s="1"/>
      <c r="AN52" s="1"/>
    </row>
    <row r="53" spans="1:43" x14ac:dyDescent="0.25">
      <c r="A53" s="58" t="s">
        <v>142</v>
      </c>
      <c r="B53" s="15">
        <v>1</v>
      </c>
      <c r="C53" s="3">
        <v>52</v>
      </c>
      <c r="D53" s="15">
        <v>3.08</v>
      </c>
      <c r="E53" s="15">
        <v>50</v>
      </c>
      <c r="F53" s="15">
        <v>351</v>
      </c>
      <c r="G53" s="8">
        <f t="shared" ref="G53:G59" si="28">E53*AB53</f>
        <v>54054</v>
      </c>
      <c r="H53" s="8">
        <f t="shared" ref="H53:H59" si="29">G53/($AN$5*AK53*0.001)</f>
        <v>1.9241389531096519E-6</v>
      </c>
      <c r="I53" s="8">
        <f>G53/(Table11232[[#This Row],[b (mm)]]*AC53^2)</f>
        <v>2.1937321937321938E-3</v>
      </c>
      <c r="J53" s="8">
        <f t="shared" ref="J53:J59" si="30">G53/(AG53*AI53*AC53*0.001)</f>
        <v>0.14673793938007984</v>
      </c>
      <c r="K53" s="8">
        <f t="shared" ref="K53:K59" si="31">E53/($AN$4*AJ53*0.001)</f>
        <v>1.4952876011250546E-6</v>
      </c>
      <c r="L53" s="8">
        <f>E53/(Table11232[[#This Row],[b (mm)]]*AC53)</f>
        <v>7.1225071225071229E-4</v>
      </c>
      <c r="M53" s="8">
        <f>Table11232[[#This Row],[M (KN.mm)]]/(Table11232[[#This Row],[b (mm)]]*Table11232[[#This Row],[d (mm)]])</f>
        <v>0.77</v>
      </c>
      <c r="N53" s="8">
        <f>Table11232[[#This Row],[M (KN.mm)]]/(Table11232[[#This Row],[b (mm)]]*Table11232[[#This Row],[h (mm)]])</f>
        <v>0.67567500000000003</v>
      </c>
      <c r="O53" s="8">
        <f>Table11232[[#This Row],[M (KN.mm)]]/(Table11232[[#This Row],[b (mm)]]*Table11232[[#This Row],[h (mm)]]*Table11232[[#This Row],[L(mm)]])</f>
        <v>2.5987500000000001E-4</v>
      </c>
      <c r="P53" s="8">
        <f>Table11232[[#This Row],[M (KN.mm)]]/(Table11232[[#This Row],[b (mm)]]*Table11232[[#This Row],[d (mm)]]*Table11232[[#This Row],[L(mm)]])</f>
        <v>2.9615384615384616E-4</v>
      </c>
      <c r="Q53" s="8">
        <f>Table11232[[#This Row],[M (KN.mm)]]/(Table11232[[#This Row],[b (mm)]]*Table11232[[#This Row],[h (mm)]]*Table11232[[#This Row],[L(mm)]]*Table11232[[#This Row],[fc (Mpa)]])</f>
        <v>3.77177068214804E-6</v>
      </c>
      <c r="R53" s="8">
        <f>Table11232[[#This Row],[M (KN.mm)]]/(Table11232[[#This Row],[b (mm)]]*Table11232[[#This Row],[h (mm)]]*Table11232[[#This Row],[L(mm)]]/2)</f>
        <v>5.1975000000000003E-4</v>
      </c>
      <c r="S53" s="8">
        <f>Table11232[[#This Row],[M (KN.mm)]]/(Table11232[[#This Row],[a (mm)]]*Table11232[[#This Row],[b (mm)]]*Table11232[[#This Row],[h (mm)]]*Table11232[[#This Row],[L(mm)]]/2)</f>
        <v>4.8076923076923074E-7</v>
      </c>
      <c r="T53" s="8">
        <f>G53/($AN$5*AK53*0.001*Table11232[[#This Row],[pho (%)]])</f>
        <v>6.4352473348148899E-7</v>
      </c>
      <c r="U53" s="8">
        <f>Table11232[[#This Row],[M (KN.mm)]]/(Table11232[[#This Row],[b (mm)]]*Table11232[[#This Row],[d (mm)]]*Table11232[[#This Row],[pho (%)]])</f>
        <v>0.25752508361204007</v>
      </c>
      <c r="V53" s="8">
        <f>E53*224.8/(2*SQRT(Table11232[[#This Row],[fc (Mpa)]]*145.037)*Table11232[[#This Row],[b (mm)]]*Table11232[[#This Row],[d (mm)]]*(1/25.4)^2)</f>
        <v>0.516675206466505</v>
      </c>
      <c r="W53" s="8">
        <f>Table11232[[#This Row],[M (KN.mm)]]/$G$59</f>
        <v>0.19592476489028215</v>
      </c>
      <c r="X53" s="8">
        <f>E53*224.8/(2*SQRT(Table11232[[#This Row],[fc (Mpa)]]*145.037)*Table11232[[#This Row],[b (mm)]]*Table11232[[#This Row],[d (mm)]]*(1/25.4)^2+Table11232[[#This Row],[Av fy d/s (N)]]*0.2248)</f>
        <v>0.26922829270328602</v>
      </c>
      <c r="Y53" s="15">
        <v>1.2669999999999999</v>
      </c>
      <c r="Z53" s="8">
        <f>Table11232[[#This Row],[Av fy/(b S) (Mpa)]]*Table11232[[#This Row],[d (mm)]]*Table11232[[#This Row],[b (mm)]]</f>
        <v>88943.4</v>
      </c>
      <c r="AA53" s="8">
        <f>Table11232[[#This Row],[d (mm)]]/260</f>
        <v>1.35</v>
      </c>
      <c r="AB53" s="8">
        <f>Table11232[[#This Row],[a/d]]*Table11232[[#This Row],[d]]</f>
        <v>1081.08</v>
      </c>
      <c r="AC53" s="8">
        <f>Table11232[[#This Row],[d]]</f>
        <v>351</v>
      </c>
      <c r="AD53" s="8">
        <v>400</v>
      </c>
      <c r="AE53" s="5">
        <v>200</v>
      </c>
      <c r="AF53" s="1">
        <v>68.900000000000006</v>
      </c>
      <c r="AG53" s="8">
        <f>Table11232[[#This Row],[pho (%)]]/100*Table11232[[#This Row],[b (mm)]]*Table11232[[#This Row],[d (mm)]]</f>
        <v>2098.98</v>
      </c>
      <c r="AH53" s="1">
        <v>2.99</v>
      </c>
      <c r="AI53" s="8">
        <v>500</v>
      </c>
      <c r="AJ53" s="8">
        <f>(1/3-0.21*(MIN(Table11232[[#This Row],[b (mm)]],AD53)/MAX(Table11232[[#This Row],[b (mm)]],AD53))*(MIN(Table11232[[#This Row],[b (mm)]],AD53)^4/(12*MAX(Table11232[[#This Row],[b (mm)]],AD53)^4)))*MAX(Table11232[[#This Row],[b (mm)]],AD53)*MIN(Table11232[[#This Row],[b (mm)]],AD53)^3</f>
        <v>1064916666.6666665</v>
      </c>
      <c r="AK53" s="8">
        <f>Table11232[[#This Row],[b (mm)]]*AD53^3/12</f>
        <v>1066666666.6666666</v>
      </c>
      <c r="AL53" s="8">
        <v>2600</v>
      </c>
      <c r="AM53" s="1"/>
      <c r="AN53" s="1"/>
    </row>
    <row r="54" spans="1:43" x14ac:dyDescent="0.25">
      <c r="A54" s="58" t="s">
        <v>142</v>
      </c>
      <c r="B54" s="15">
        <v>2</v>
      </c>
      <c r="C54" s="3">
        <v>53</v>
      </c>
      <c r="D54" s="15">
        <v>3.08</v>
      </c>
      <c r="E54" s="15">
        <v>83</v>
      </c>
      <c r="F54" s="15">
        <v>351</v>
      </c>
      <c r="G54" s="8">
        <f t="shared" si="28"/>
        <v>89729.64</v>
      </c>
      <c r="H54" s="8">
        <f t="shared" si="29"/>
        <v>3.1940706621620223E-6</v>
      </c>
      <c r="I54" s="8">
        <f>G54/(Table11232[[#This Row],[b (mm)]]*AC54^2)</f>
        <v>3.6415954415954417E-3</v>
      </c>
      <c r="J54" s="8">
        <f t="shared" si="30"/>
        <v>0.24358497937093254</v>
      </c>
      <c r="K54" s="8">
        <f t="shared" si="31"/>
        <v>2.4821774178675907E-6</v>
      </c>
      <c r="L54" s="8">
        <f>E54/(Table11232[[#This Row],[b (mm)]]*AC54)</f>
        <v>1.1823361823361824E-3</v>
      </c>
      <c r="M54" s="8">
        <f>Table11232[[#This Row],[M (KN.mm)]]/(Table11232[[#This Row],[b (mm)]]*Table11232[[#This Row],[d (mm)]])</f>
        <v>1.2782</v>
      </c>
      <c r="N54" s="8">
        <f>Table11232[[#This Row],[M (KN.mm)]]/(Table11232[[#This Row],[b (mm)]]*Table11232[[#This Row],[h (mm)]])</f>
        <v>1.1216204999999999</v>
      </c>
      <c r="O54" s="8">
        <f>Table11232[[#This Row],[M (KN.mm)]]/(Table11232[[#This Row],[b (mm)]]*Table11232[[#This Row],[h (mm)]]*Table11232[[#This Row],[L(mm)]])</f>
        <v>4.3139250000000001E-4</v>
      </c>
      <c r="P54" s="8">
        <f>Table11232[[#This Row],[M (KN.mm)]]/(Table11232[[#This Row],[b (mm)]]*Table11232[[#This Row],[d (mm)]]*Table11232[[#This Row],[L(mm)]])</f>
        <v>4.9161538461538461E-4</v>
      </c>
      <c r="Q54" s="8">
        <f>Table11232[[#This Row],[M (KN.mm)]]/(Table11232[[#This Row],[b (mm)]]*Table11232[[#This Row],[h (mm)]]*Table11232[[#This Row],[L(mm)]]*Table11232[[#This Row],[fc (Mpa)]])</f>
        <v>6.2611393323657463E-6</v>
      </c>
      <c r="R54" s="8">
        <f>Table11232[[#This Row],[M (KN.mm)]]/(Table11232[[#This Row],[b (mm)]]*Table11232[[#This Row],[h (mm)]]*Table11232[[#This Row],[L(mm)]]/2)</f>
        <v>8.6278500000000003E-4</v>
      </c>
      <c r="S54" s="8">
        <f>Table11232[[#This Row],[M (KN.mm)]]/(Table11232[[#This Row],[a (mm)]]*Table11232[[#This Row],[b (mm)]]*Table11232[[#This Row],[h (mm)]]*Table11232[[#This Row],[L(mm)]]/2)</f>
        <v>7.9807692307692305E-7</v>
      </c>
      <c r="T54" s="8">
        <f>G54/($AN$5*AK54*0.001*Table11232[[#This Row],[pho (%)]])</f>
        <v>1.0682510575792717E-6</v>
      </c>
      <c r="U54" s="8">
        <f>Table11232[[#This Row],[M (KN.mm)]]/(Table11232[[#This Row],[b (mm)]]*Table11232[[#This Row],[d (mm)]]*Table11232[[#This Row],[pho (%)]])</f>
        <v>0.42749163879598656</v>
      </c>
      <c r="V54" s="8">
        <f>E54*224.8/(2*SQRT(Table11232[[#This Row],[fc (Mpa)]]*145.037)*Table11232[[#This Row],[b (mm)]]*Table11232[[#This Row],[d (mm)]]*(1/25.4)^2)</f>
        <v>0.85768084273439837</v>
      </c>
      <c r="W54" s="8">
        <f>Table11232[[#This Row],[M (KN.mm)]]/$G$59</f>
        <v>0.32523510971786834</v>
      </c>
      <c r="X54" s="8">
        <f>E54*224.8/(2*SQRT(Table11232[[#This Row],[fc (Mpa)]]*145.037)*Table11232[[#This Row],[b (mm)]]*Table11232[[#This Row],[d (mm)]]*(1/25.4)^2+Table11232[[#This Row],[Av fy d/s (N)]]*0.2248)</f>
        <v>0.44691896588745483</v>
      </c>
      <c r="Y54" s="15">
        <v>1.2669999999999999</v>
      </c>
      <c r="Z54" s="8">
        <f>Table11232[[#This Row],[Av fy/(b S) (Mpa)]]*Table11232[[#This Row],[d (mm)]]*Table11232[[#This Row],[b (mm)]]</f>
        <v>88943.4</v>
      </c>
      <c r="AA54" s="8">
        <f>Table11232[[#This Row],[d (mm)]]/260</f>
        <v>1.35</v>
      </c>
      <c r="AB54" s="8">
        <f>Table11232[[#This Row],[a/d]]*Table11232[[#This Row],[d]]</f>
        <v>1081.08</v>
      </c>
      <c r="AC54" s="8">
        <f>Table11232[[#This Row],[d]]</f>
        <v>351</v>
      </c>
      <c r="AD54" s="8">
        <v>400</v>
      </c>
      <c r="AE54" s="5">
        <v>200</v>
      </c>
      <c r="AF54" s="1">
        <v>68.900000000000006</v>
      </c>
      <c r="AG54" s="8">
        <f>Table11232[[#This Row],[pho (%)]]/100*Table11232[[#This Row],[b (mm)]]*Table11232[[#This Row],[d (mm)]]</f>
        <v>2098.98</v>
      </c>
      <c r="AH54" s="1">
        <v>2.99</v>
      </c>
      <c r="AI54" s="8">
        <v>500</v>
      </c>
      <c r="AJ54" s="8">
        <f>(1/3-0.21*(MIN(Table11232[[#This Row],[b (mm)]],AD54)/MAX(Table11232[[#This Row],[b (mm)]],AD54))*(MIN(Table11232[[#This Row],[b (mm)]],AD54)^4/(12*MAX(Table11232[[#This Row],[b (mm)]],AD54)^4)))*MAX(Table11232[[#This Row],[b (mm)]],AD54)*MIN(Table11232[[#This Row],[b (mm)]],AD54)^3</f>
        <v>1064916666.6666665</v>
      </c>
      <c r="AK54" s="8">
        <f>Table11232[[#This Row],[b (mm)]]*AD54^3/12</f>
        <v>1066666666.6666666</v>
      </c>
      <c r="AL54" s="8">
        <v>2600</v>
      </c>
      <c r="AM54" s="1"/>
      <c r="AN54" s="1"/>
    </row>
    <row r="55" spans="1:43" x14ac:dyDescent="0.25">
      <c r="A55" s="58" t="s">
        <v>142</v>
      </c>
      <c r="B55" s="15">
        <v>3</v>
      </c>
      <c r="C55" s="3">
        <v>54</v>
      </c>
      <c r="D55" s="15">
        <v>3.08</v>
      </c>
      <c r="E55" s="15">
        <v>95</v>
      </c>
      <c r="F55" s="15">
        <v>351</v>
      </c>
      <c r="G55" s="8">
        <f t="shared" si="28"/>
        <v>102702.59999999999</v>
      </c>
      <c r="H55" s="8">
        <f t="shared" si="29"/>
        <v>3.6558640109083388E-6</v>
      </c>
      <c r="I55" s="8">
        <f>G55/(Table11232[[#This Row],[b (mm)]]*AC55^2)</f>
        <v>4.1680911680911674E-3</v>
      </c>
      <c r="J55" s="8">
        <f t="shared" si="30"/>
        <v>0.27880208482215169</v>
      </c>
      <c r="K55" s="8">
        <f t="shared" si="31"/>
        <v>2.8410464421376036E-6</v>
      </c>
      <c r="L55" s="8">
        <f>E55/(Table11232[[#This Row],[b (mm)]]*AC55)</f>
        <v>1.3532763532763533E-3</v>
      </c>
      <c r="M55" s="8">
        <f>Table11232[[#This Row],[M (KN.mm)]]/(Table11232[[#This Row],[b (mm)]]*Table11232[[#This Row],[d (mm)]])</f>
        <v>1.4629999999999999</v>
      </c>
      <c r="N55" s="8">
        <f>Table11232[[#This Row],[M (KN.mm)]]/(Table11232[[#This Row],[b (mm)]]*Table11232[[#This Row],[h (mm)]])</f>
        <v>1.2837824999999998</v>
      </c>
      <c r="O55" s="8">
        <f>Table11232[[#This Row],[M (KN.mm)]]/(Table11232[[#This Row],[b (mm)]]*Table11232[[#This Row],[h (mm)]]*Table11232[[#This Row],[L(mm)]])</f>
        <v>4.9376249999999997E-4</v>
      </c>
      <c r="P55" s="8">
        <f>Table11232[[#This Row],[M (KN.mm)]]/(Table11232[[#This Row],[b (mm)]]*Table11232[[#This Row],[d (mm)]]*Table11232[[#This Row],[L(mm)]])</f>
        <v>5.6269230769230767E-4</v>
      </c>
      <c r="Q55" s="8">
        <f>Table11232[[#This Row],[M (KN.mm)]]/(Table11232[[#This Row],[b (mm)]]*Table11232[[#This Row],[h (mm)]]*Table11232[[#This Row],[L(mm)]]*Table11232[[#This Row],[fc (Mpa)]])</f>
        <v>7.166364296081276E-6</v>
      </c>
      <c r="R55" s="8">
        <f>Table11232[[#This Row],[M (KN.mm)]]/(Table11232[[#This Row],[b (mm)]]*Table11232[[#This Row],[h (mm)]]*Table11232[[#This Row],[L(mm)]]/2)</f>
        <v>9.8752499999999995E-4</v>
      </c>
      <c r="S55" s="8">
        <f>Table11232[[#This Row],[M (KN.mm)]]/(Table11232[[#This Row],[a (mm)]]*Table11232[[#This Row],[b (mm)]]*Table11232[[#This Row],[h (mm)]]*Table11232[[#This Row],[L(mm)]]/2)</f>
        <v>9.1346153846153835E-7</v>
      </c>
      <c r="T55" s="8">
        <f>G55/($AN$5*AK55*0.001*Table11232[[#This Row],[pho (%)]])</f>
        <v>1.222696993614829E-6</v>
      </c>
      <c r="U55" s="8">
        <f>Table11232[[#This Row],[M (KN.mm)]]/(Table11232[[#This Row],[b (mm)]]*Table11232[[#This Row],[d (mm)]]*Table11232[[#This Row],[pho (%)]])</f>
        <v>0.48929765886287613</v>
      </c>
      <c r="V55" s="8">
        <f>E55*224.8/(2*SQRT(Table11232[[#This Row],[fc (Mpa)]]*145.037)*Table11232[[#This Row],[b (mm)]]*Table11232[[#This Row],[d (mm)]]*(1/25.4)^2)</f>
        <v>0.98168289228635952</v>
      </c>
      <c r="W55" s="8">
        <f>Table11232[[#This Row],[M (KN.mm)]]/$G$59</f>
        <v>0.37225705329153602</v>
      </c>
      <c r="X55" s="8">
        <f>E55*224.8/(2*SQRT(Table11232[[#This Row],[fc (Mpa)]]*145.037)*Table11232[[#This Row],[b (mm)]]*Table11232[[#This Row],[d (mm)]]*(1/25.4)^2+Table11232[[#This Row],[Av fy d/s (N)]]*0.2248)</f>
        <v>0.51153375613624341</v>
      </c>
      <c r="Y55" s="15">
        <v>1.2669999999999999</v>
      </c>
      <c r="Z55" s="8">
        <f>Table11232[[#This Row],[Av fy/(b S) (Mpa)]]*Table11232[[#This Row],[d (mm)]]*Table11232[[#This Row],[b (mm)]]</f>
        <v>88943.4</v>
      </c>
      <c r="AA55" s="8">
        <f>Table11232[[#This Row],[d (mm)]]/260</f>
        <v>1.35</v>
      </c>
      <c r="AB55" s="8">
        <f>Table11232[[#This Row],[a/d]]*Table11232[[#This Row],[d]]</f>
        <v>1081.08</v>
      </c>
      <c r="AC55" s="8">
        <f>Table11232[[#This Row],[d]]</f>
        <v>351</v>
      </c>
      <c r="AD55" s="8">
        <v>400</v>
      </c>
      <c r="AE55" s="5">
        <v>200</v>
      </c>
      <c r="AF55" s="1">
        <v>68.900000000000006</v>
      </c>
      <c r="AG55" s="8">
        <f>Table11232[[#This Row],[pho (%)]]/100*Table11232[[#This Row],[b (mm)]]*Table11232[[#This Row],[d (mm)]]</f>
        <v>2098.98</v>
      </c>
      <c r="AH55" s="1">
        <v>2.99</v>
      </c>
      <c r="AI55" s="8">
        <v>500</v>
      </c>
      <c r="AJ55" s="8">
        <f>(1/3-0.21*(MIN(Table11232[[#This Row],[b (mm)]],AD55)/MAX(Table11232[[#This Row],[b (mm)]],AD55))*(MIN(Table11232[[#This Row],[b (mm)]],AD55)^4/(12*MAX(Table11232[[#This Row],[b (mm)]],AD55)^4)))*MAX(Table11232[[#This Row],[b (mm)]],AD55)*MIN(Table11232[[#This Row],[b (mm)]],AD55)^3</f>
        <v>1064916666.6666665</v>
      </c>
      <c r="AK55" s="8">
        <f>Table11232[[#This Row],[b (mm)]]*AD55^3/12</f>
        <v>1066666666.6666666</v>
      </c>
      <c r="AL55" s="8">
        <v>2600</v>
      </c>
      <c r="AM55" s="1"/>
      <c r="AN55" s="1"/>
    </row>
    <row r="56" spans="1:43" x14ac:dyDescent="0.25">
      <c r="A56" s="58" t="s">
        <v>142</v>
      </c>
      <c r="B56" s="15">
        <v>4</v>
      </c>
      <c r="C56" s="3">
        <v>55</v>
      </c>
      <c r="D56" s="15">
        <v>3.08</v>
      </c>
      <c r="E56" s="15">
        <v>117</v>
      </c>
      <c r="F56" s="15">
        <v>351</v>
      </c>
      <c r="G56" s="8">
        <f t="shared" si="28"/>
        <v>126486.35999999999</v>
      </c>
      <c r="H56" s="8">
        <f t="shared" si="29"/>
        <v>4.5024851502765853E-6</v>
      </c>
      <c r="I56" s="8">
        <f>G56/(Table11232[[#This Row],[b (mm)]]*AC56^2)</f>
        <v>5.1333333333333326E-3</v>
      </c>
      <c r="J56" s="8">
        <f t="shared" si="30"/>
        <v>0.34336677814938682</v>
      </c>
      <c r="K56" s="8">
        <f t="shared" si="31"/>
        <v>3.4989729866326277E-6</v>
      </c>
      <c r="L56" s="8">
        <f>E56/(Table11232[[#This Row],[b (mm)]]*AC56)</f>
        <v>1.6666666666666668E-3</v>
      </c>
      <c r="M56" s="8">
        <f>Table11232[[#This Row],[M (KN.mm)]]/(Table11232[[#This Row],[b (mm)]]*Table11232[[#This Row],[d (mm)]])</f>
        <v>1.8017999999999998</v>
      </c>
      <c r="N56" s="8">
        <f>Table11232[[#This Row],[M (KN.mm)]]/(Table11232[[#This Row],[b (mm)]]*Table11232[[#This Row],[h (mm)]])</f>
        <v>1.5810794999999997</v>
      </c>
      <c r="O56" s="8">
        <f>Table11232[[#This Row],[M (KN.mm)]]/(Table11232[[#This Row],[b (mm)]]*Table11232[[#This Row],[h (mm)]]*Table11232[[#This Row],[L(mm)]])</f>
        <v>6.0810749999999994E-4</v>
      </c>
      <c r="P56" s="8">
        <f>Table11232[[#This Row],[M (KN.mm)]]/(Table11232[[#This Row],[b (mm)]]*Table11232[[#This Row],[d (mm)]]*Table11232[[#This Row],[L(mm)]])</f>
        <v>6.9299999999999993E-4</v>
      </c>
      <c r="Q56" s="8">
        <f>Table11232[[#This Row],[M (KN.mm)]]/(Table11232[[#This Row],[b (mm)]]*Table11232[[#This Row],[h (mm)]]*Table11232[[#This Row],[L(mm)]]*Table11232[[#This Row],[fc (Mpa)]])</f>
        <v>8.8259433962264127E-6</v>
      </c>
      <c r="R56" s="8">
        <f>Table11232[[#This Row],[M (KN.mm)]]/(Table11232[[#This Row],[b (mm)]]*Table11232[[#This Row],[h (mm)]]*Table11232[[#This Row],[L(mm)]]/2)</f>
        <v>1.2162149999999999E-3</v>
      </c>
      <c r="S56" s="8">
        <f>Table11232[[#This Row],[M (KN.mm)]]/(Table11232[[#This Row],[a (mm)]]*Table11232[[#This Row],[b (mm)]]*Table11232[[#This Row],[h (mm)]]*Table11232[[#This Row],[L(mm)]]/2)</f>
        <v>1.1249999999999998E-6</v>
      </c>
      <c r="T56" s="8">
        <f>G56/($AN$5*AK56*0.001*Table11232[[#This Row],[pho (%)]])</f>
        <v>1.5058478763466839E-6</v>
      </c>
      <c r="U56" s="8">
        <f>Table11232[[#This Row],[M (KN.mm)]]/(Table11232[[#This Row],[b (mm)]]*Table11232[[#This Row],[d (mm)]]*Table11232[[#This Row],[pho (%)]])</f>
        <v>0.60260869565217379</v>
      </c>
      <c r="V56" s="8">
        <f>E56*224.8/(2*SQRT(Table11232[[#This Row],[fc (Mpa)]]*145.037)*Table11232[[#This Row],[b (mm)]]*Table11232[[#This Row],[d (mm)]]*(1/25.4)^2)</f>
        <v>1.209019983131622</v>
      </c>
      <c r="W56" s="8">
        <f>Table11232[[#This Row],[M (KN.mm)]]/$G$59</f>
        <v>0.45846394984326017</v>
      </c>
      <c r="X56" s="8">
        <f>E56*224.8/(2*SQRT(Table11232[[#This Row],[fc (Mpa)]]*145.037)*Table11232[[#This Row],[b (mm)]]*Table11232[[#This Row],[d (mm)]]*(1/25.4)^2+Table11232[[#This Row],[Av fy d/s (N)]]*0.2248)</f>
        <v>0.62999420492568936</v>
      </c>
      <c r="Y56" s="15">
        <v>1.2669999999999999</v>
      </c>
      <c r="Z56" s="8">
        <f>Table11232[[#This Row],[Av fy/(b S) (Mpa)]]*Table11232[[#This Row],[d (mm)]]*Table11232[[#This Row],[b (mm)]]</f>
        <v>88943.4</v>
      </c>
      <c r="AA56" s="8">
        <f>Table11232[[#This Row],[d (mm)]]/260</f>
        <v>1.35</v>
      </c>
      <c r="AB56" s="8">
        <f>Table11232[[#This Row],[a/d]]*Table11232[[#This Row],[d]]</f>
        <v>1081.08</v>
      </c>
      <c r="AC56" s="8">
        <f>Table11232[[#This Row],[d]]</f>
        <v>351</v>
      </c>
      <c r="AD56" s="8">
        <v>400</v>
      </c>
      <c r="AE56" s="5">
        <v>200</v>
      </c>
      <c r="AF56" s="1">
        <v>68.900000000000006</v>
      </c>
      <c r="AG56" s="8">
        <f>Table11232[[#This Row],[pho (%)]]/100*Table11232[[#This Row],[b (mm)]]*Table11232[[#This Row],[d (mm)]]</f>
        <v>2098.98</v>
      </c>
      <c r="AH56" s="1">
        <v>2.99</v>
      </c>
      <c r="AI56" s="8">
        <v>500</v>
      </c>
      <c r="AJ56" s="8">
        <f>(1/3-0.21*(MIN(Table11232[[#This Row],[b (mm)]],AD56)/MAX(Table11232[[#This Row],[b (mm)]],AD56))*(MIN(Table11232[[#This Row],[b (mm)]],AD56)^4/(12*MAX(Table11232[[#This Row],[b (mm)]],AD56)^4)))*MAX(Table11232[[#This Row],[b (mm)]],AD56)*MIN(Table11232[[#This Row],[b (mm)]],AD56)^3</f>
        <v>1064916666.6666665</v>
      </c>
      <c r="AK56" s="8">
        <f>Table11232[[#This Row],[b (mm)]]*AD56^3/12</f>
        <v>1066666666.6666666</v>
      </c>
      <c r="AL56" s="8">
        <v>2600</v>
      </c>
      <c r="AM56" s="1"/>
      <c r="AN56" s="1"/>
    </row>
    <row r="57" spans="1:43" x14ac:dyDescent="0.25">
      <c r="A57" s="58" t="s">
        <v>142</v>
      </c>
      <c r="B57" s="15">
        <v>5</v>
      </c>
      <c r="C57" s="3">
        <v>56</v>
      </c>
      <c r="D57" s="15">
        <v>3.08</v>
      </c>
      <c r="E57" s="15">
        <v>140</v>
      </c>
      <c r="F57" s="15">
        <v>351</v>
      </c>
      <c r="G57" s="8">
        <f t="shared" si="28"/>
        <v>151351.19999999998</v>
      </c>
      <c r="H57" s="8">
        <f t="shared" si="29"/>
        <v>5.3875890687070248E-6</v>
      </c>
      <c r="I57" s="8">
        <f>G57/(Table11232[[#This Row],[b (mm)]]*AC57^2)</f>
        <v>6.1424501424501418E-3</v>
      </c>
      <c r="J57" s="8">
        <f t="shared" si="30"/>
        <v>0.41086623026422353</v>
      </c>
      <c r="K57" s="8">
        <f t="shared" si="31"/>
        <v>4.1868052831501528E-6</v>
      </c>
      <c r="L57" s="8">
        <f>E57/(Table11232[[#This Row],[b (mm)]]*AC57)</f>
        <v>1.9943019943019944E-3</v>
      </c>
      <c r="M57" s="8">
        <f>Table11232[[#This Row],[M (KN.mm)]]/(Table11232[[#This Row],[b (mm)]]*Table11232[[#This Row],[d (mm)]])</f>
        <v>2.1559999999999997</v>
      </c>
      <c r="N57" s="8">
        <f>Table11232[[#This Row],[M (KN.mm)]]/(Table11232[[#This Row],[b (mm)]]*Table11232[[#This Row],[h (mm)]])</f>
        <v>1.8918899999999998</v>
      </c>
      <c r="O57" s="8">
        <f>Table11232[[#This Row],[M (KN.mm)]]/(Table11232[[#This Row],[b (mm)]]*Table11232[[#This Row],[h (mm)]]*Table11232[[#This Row],[L(mm)]])</f>
        <v>7.2764999999999993E-4</v>
      </c>
      <c r="P57" s="8">
        <f>Table11232[[#This Row],[M (KN.mm)]]/(Table11232[[#This Row],[b (mm)]]*Table11232[[#This Row],[d (mm)]]*Table11232[[#This Row],[L(mm)]])</f>
        <v>8.2923076923076917E-4</v>
      </c>
      <c r="Q57" s="8">
        <f>Table11232[[#This Row],[M (KN.mm)]]/(Table11232[[#This Row],[b (mm)]]*Table11232[[#This Row],[h (mm)]]*Table11232[[#This Row],[L(mm)]]*Table11232[[#This Row],[fc (Mpa)]])</f>
        <v>1.0560957910014511E-5</v>
      </c>
      <c r="R57" s="8">
        <f>Table11232[[#This Row],[M (KN.mm)]]/(Table11232[[#This Row],[b (mm)]]*Table11232[[#This Row],[h (mm)]]*Table11232[[#This Row],[L(mm)]]/2)</f>
        <v>1.4552999999999999E-3</v>
      </c>
      <c r="S57" s="8">
        <f>Table11232[[#This Row],[M (KN.mm)]]/(Table11232[[#This Row],[a (mm)]]*Table11232[[#This Row],[b (mm)]]*Table11232[[#This Row],[h (mm)]]*Table11232[[#This Row],[L(mm)]]/2)</f>
        <v>1.346153846153846E-6</v>
      </c>
      <c r="T57" s="8">
        <f>G57/($AN$5*AK57*0.001*Table11232[[#This Row],[pho (%)]])</f>
        <v>1.8018692537481688E-6</v>
      </c>
      <c r="U57" s="8">
        <f>Table11232[[#This Row],[M (KN.mm)]]/(Table11232[[#This Row],[b (mm)]]*Table11232[[#This Row],[d (mm)]]*Table11232[[#This Row],[pho (%)]])</f>
        <v>0.72107023411371218</v>
      </c>
      <c r="V57" s="8">
        <f>E57*224.8/(2*SQRT(Table11232[[#This Row],[fc (Mpa)]]*145.037)*Table11232[[#This Row],[b (mm)]]*Table11232[[#This Row],[d (mm)]]*(1/25.4)^2)</f>
        <v>1.446690578106214</v>
      </c>
      <c r="W57" s="8">
        <f>Table11232[[#This Row],[M (KN.mm)]]/$G$59</f>
        <v>0.54858934169278994</v>
      </c>
      <c r="X57" s="8">
        <f>E57*224.8/(2*SQRT(Table11232[[#This Row],[fc (Mpa)]]*145.037)*Table11232[[#This Row],[b (mm)]]*Table11232[[#This Row],[d (mm)]]*(1/25.4)^2+Table11232[[#This Row],[Av fy d/s (N)]]*0.2248)</f>
        <v>0.75383921956920086</v>
      </c>
      <c r="Y57" s="15">
        <v>1.2669999999999999</v>
      </c>
      <c r="Z57" s="8">
        <f>Table11232[[#This Row],[Av fy/(b S) (Mpa)]]*Table11232[[#This Row],[d (mm)]]*Table11232[[#This Row],[b (mm)]]</f>
        <v>88943.4</v>
      </c>
      <c r="AA57" s="8">
        <f>Table11232[[#This Row],[d (mm)]]/260</f>
        <v>1.35</v>
      </c>
      <c r="AB57" s="8">
        <f>Table11232[[#This Row],[a/d]]*Table11232[[#This Row],[d]]</f>
        <v>1081.08</v>
      </c>
      <c r="AC57" s="8">
        <f>Table11232[[#This Row],[d]]</f>
        <v>351</v>
      </c>
      <c r="AD57" s="8">
        <v>400</v>
      </c>
      <c r="AE57" s="5">
        <v>200</v>
      </c>
      <c r="AF57" s="1">
        <v>68.900000000000006</v>
      </c>
      <c r="AG57" s="8">
        <f>Table11232[[#This Row],[pho (%)]]/100*Table11232[[#This Row],[b (mm)]]*Table11232[[#This Row],[d (mm)]]</f>
        <v>2098.98</v>
      </c>
      <c r="AH57" s="1">
        <v>2.99</v>
      </c>
      <c r="AI57" s="8">
        <v>500</v>
      </c>
      <c r="AJ57" s="8">
        <f>(1/3-0.21*(MIN(Table11232[[#This Row],[b (mm)]],AD57)/MAX(Table11232[[#This Row],[b (mm)]],AD57))*(MIN(Table11232[[#This Row],[b (mm)]],AD57)^4/(12*MAX(Table11232[[#This Row],[b (mm)]],AD57)^4)))*MAX(Table11232[[#This Row],[b (mm)]],AD57)*MIN(Table11232[[#This Row],[b (mm)]],AD57)^3</f>
        <v>1064916666.6666665</v>
      </c>
      <c r="AK57" s="8">
        <f>Table11232[[#This Row],[b (mm)]]*AD57^3/12</f>
        <v>1066666666.6666666</v>
      </c>
      <c r="AL57" s="8">
        <v>2600</v>
      </c>
      <c r="AM57" s="1"/>
      <c r="AN57" s="1"/>
    </row>
    <row r="58" spans="1:43" x14ac:dyDescent="0.25">
      <c r="A58" s="58" t="s">
        <v>142</v>
      </c>
      <c r="B58" s="15">
        <v>6</v>
      </c>
      <c r="C58" s="3">
        <v>57</v>
      </c>
      <c r="D58" s="15">
        <v>3.08</v>
      </c>
      <c r="E58" s="15">
        <v>167</v>
      </c>
      <c r="F58" s="15">
        <v>351</v>
      </c>
      <c r="G58" s="8">
        <f t="shared" si="28"/>
        <v>180540.36</v>
      </c>
      <c r="H58" s="8">
        <f t="shared" si="29"/>
        <v>6.4266241033862372E-6</v>
      </c>
      <c r="I58" s="8">
        <f>G58/(Table11232[[#This Row],[b (mm)]]*AC58^2)</f>
        <v>7.3270655270655264E-3</v>
      </c>
      <c r="J58" s="8">
        <f t="shared" si="30"/>
        <v>0.49010471752946666</v>
      </c>
      <c r="K58" s="8">
        <f t="shared" si="31"/>
        <v>4.994260587757682E-6</v>
      </c>
      <c r="L58" s="8">
        <f>E58/(Table11232[[#This Row],[b (mm)]]*AC58)</f>
        <v>2.3789173789173787E-3</v>
      </c>
      <c r="M58" s="8">
        <f>Table11232[[#This Row],[M (KN.mm)]]/(Table11232[[#This Row],[b (mm)]]*Table11232[[#This Row],[d (mm)]])</f>
        <v>2.5717999999999996</v>
      </c>
      <c r="N58" s="8">
        <f>Table11232[[#This Row],[M (KN.mm)]]/(Table11232[[#This Row],[b (mm)]]*Table11232[[#This Row],[h (mm)]])</f>
        <v>2.2567545</v>
      </c>
      <c r="O58" s="8">
        <f>Table11232[[#This Row],[M (KN.mm)]]/(Table11232[[#This Row],[b (mm)]]*Table11232[[#This Row],[h (mm)]]*Table11232[[#This Row],[L(mm)]])</f>
        <v>8.6798249999999995E-4</v>
      </c>
      <c r="P58" s="8">
        <f>Table11232[[#This Row],[M (KN.mm)]]/(Table11232[[#This Row],[b (mm)]]*Table11232[[#This Row],[d (mm)]]*Table11232[[#This Row],[L(mm)]])</f>
        <v>9.8915384615384599E-4</v>
      </c>
      <c r="Q58" s="8">
        <f>Table11232[[#This Row],[M (KN.mm)]]/(Table11232[[#This Row],[b (mm)]]*Table11232[[#This Row],[h (mm)]]*Table11232[[#This Row],[L(mm)]]*Table11232[[#This Row],[fc (Mpa)]])</f>
        <v>1.2597714078374454E-5</v>
      </c>
      <c r="R58" s="8">
        <f>Table11232[[#This Row],[M (KN.mm)]]/(Table11232[[#This Row],[b (mm)]]*Table11232[[#This Row],[h (mm)]]*Table11232[[#This Row],[L(mm)]]/2)</f>
        <v>1.7359649999999999E-3</v>
      </c>
      <c r="S58" s="8">
        <f>Table11232[[#This Row],[M (KN.mm)]]/(Table11232[[#This Row],[a (mm)]]*Table11232[[#This Row],[b (mm)]]*Table11232[[#This Row],[h (mm)]]*Table11232[[#This Row],[L(mm)]]/2)</f>
        <v>1.6057692307692306E-6</v>
      </c>
      <c r="T58" s="8">
        <f>G58/($AN$5*AK58*0.001*Table11232[[#This Row],[pho (%)]])</f>
        <v>2.1493726098281731E-6</v>
      </c>
      <c r="U58" s="8">
        <f>Table11232[[#This Row],[M (KN.mm)]]/(Table11232[[#This Row],[b (mm)]]*Table11232[[#This Row],[d (mm)]]*Table11232[[#This Row],[pho (%)]])</f>
        <v>0.86013377926421386</v>
      </c>
      <c r="V58" s="8">
        <f>E58*224.8/(2*SQRT(Table11232[[#This Row],[fc (Mpa)]]*145.037)*Table11232[[#This Row],[b (mm)]]*Table11232[[#This Row],[d (mm)]]*(1/25.4)^2)</f>
        <v>1.7256951895981267</v>
      </c>
      <c r="W58" s="8">
        <f>Table11232[[#This Row],[M (KN.mm)]]/$G$59</f>
        <v>0.65438871473354232</v>
      </c>
      <c r="X58" s="8">
        <f>E58*224.8/(2*SQRT(Table11232[[#This Row],[fc (Mpa)]]*145.037)*Table11232[[#This Row],[b (mm)]]*Table11232[[#This Row],[d (mm)]]*(1/25.4)^2+Table11232[[#This Row],[Av fy d/s (N)]]*0.2248)</f>
        <v>0.89922249762897521</v>
      </c>
      <c r="Y58" s="15">
        <v>1.2669999999999999</v>
      </c>
      <c r="Z58" s="8">
        <f>Table11232[[#This Row],[Av fy/(b S) (Mpa)]]*Table11232[[#This Row],[d (mm)]]*Table11232[[#This Row],[b (mm)]]</f>
        <v>88943.4</v>
      </c>
      <c r="AA58" s="8">
        <f>Table11232[[#This Row],[d (mm)]]/260</f>
        <v>1.35</v>
      </c>
      <c r="AB58" s="8">
        <f>Table11232[[#This Row],[a/d]]*Table11232[[#This Row],[d]]</f>
        <v>1081.08</v>
      </c>
      <c r="AC58" s="8">
        <f>Table11232[[#This Row],[d]]</f>
        <v>351</v>
      </c>
      <c r="AD58" s="8">
        <v>400</v>
      </c>
      <c r="AE58" s="5">
        <v>200</v>
      </c>
      <c r="AF58" s="1">
        <v>68.900000000000006</v>
      </c>
      <c r="AG58" s="8">
        <f>Table11232[[#This Row],[pho (%)]]/100*Table11232[[#This Row],[b (mm)]]*Table11232[[#This Row],[d (mm)]]</f>
        <v>2098.98</v>
      </c>
      <c r="AH58" s="1">
        <v>2.99</v>
      </c>
      <c r="AI58" s="8">
        <v>500</v>
      </c>
      <c r="AJ58" s="8">
        <f>(1/3-0.21*(MIN(Table11232[[#This Row],[b (mm)]],AD58)/MAX(Table11232[[#This Row],[b (mm)]],AD58))*(MIN(Table11232[[#This Row],[b (mm)]],AD58)^4/(12*MAX(Table11232[[#This Row],[b (mm)]],AD58)^4)))*MAX(Table11232[[#This Row],[b (mm)]],AD58)*MIN(Table11232[[#This Row],[b (mm)]],AD58)^3</f>
        <v>1064916666.6666665</v>
      </c>
      <c r="AK58" s="8">
        <f>Table11232[[#This Row],[b (mm)]]*AD58^3/12</f>
        <v>1066666666.6666666</v>
      </c>
      <c r="AL58" s="8">
        <v>2600</v>
      </c>
      <c r="AM58" s="1"/>
      <c r="AN58" s="1"/>
    </row>
    <row r="59" spans="1:43" x14ac:dyDescent="0.25">
      <c r="A59" s="58" t="s">
        <v>142</v>
      </c>
      <c r="B59" s="15">
        <v>7</v>
      </c>
      <c r="C59" s="3">
        <v>58</v>
      </c>
      <c r="D59" s="15">
        <v>3.08</v>
      </c>
      <c r="E59" s="15">
        <v>255.2</v>
      </c>
      <c r="F59" s="15">
        <v>351</v>
      </c>
      <c r="G59" s="8">
        <f t="shared" si="28"/>
        <v>275891.61599999998</v>
      </c>
      <c r="H59" s="8">
        <f t="shared" si="29"/>
        <v>9.8208052166716627E-6</v>
      </c>
      <c r="I59" s="8">
        <f>G59/(Table11232[[#This Row],[b (mm)]]*AC59^2)</f>
        <v>1.1196809116809116E-2</v>
      </c>
      <c r="J59" s="8">
        <f t="shared" si="30"/>
        <v>0.74895044259592747</v>
      </c>
      <c r="K59" s="8">
        <f t="shared" si="31"/>
        <v>7.6319479161422781E-6</v>
      </c>
      <c r="L59" s="8">
        <f>E59/(Table11232[[#This Row],[b (mm)]]*AC59)</f>
        <v>3.6353276353276354E-3</v>
      </c>
      <c r="M59" s="8">
        <f>Table11232[[#This Row],[M (KN.mm)]]/(Table11232[[#This Row],[b (mm)]]*Table11232[[#This Row],[d (mm)]])</f>
        <v>3.9300799999999998</v>
      </c>
      <c r="N59" s="8">
        <f>Table11232[[#This Row],[M (KN.mm)]]/(Table11232[[#This Row],[b (mm)]]*Table11232[[#This Row],[h (mm)]])</f>
        <v>3.4486451999999996</v>
      </c>
      <c r="O59" s="8">
        <f>Table11232[[#This Row],[M (KN.mm)]]/(Table11232[[#This Row],[b (mm)]]*Table11232[[#This Row],[h (mm)]]*Table11232[[#This Row],[L(mm)]])</f>
        <v>1.326402E-3</v>
      </c>
      <c r="P59" s="8">
        <f>Table11232[[#This Row],[M (KN.mm)]]/(Table11232[[#This Row],[b (mm)]]*Table11232[[#This Row],[d (mm)]]*Table11232[[#This Row],[L(mm)]])</f>
        <v>1.5115692307692307E-3</v>
      </c>
      <c r="Q59" s="8">
        <f>Table11232[[#This Row],[M (KN.mm)]]/(Table11232[[#This Row],[b (mm)]]*Table11232[[#This Row],[h (mm)]]*Table11232[[#This Row],[L(mm)]]*Table11232[[#This Row],[fc (Mpa)]])</f>
        <v>1.9251117561683596E-5</v>
      </c>
      <c r="R59" s="8">
        <f>Table11232[[#This Row],[M (KN.mm)]]/(Table11232[[#This Row],[b (mm)]]*Table11232[[#This Row],[h (mm)]]*Table11232[[#This Row],[L(mm)]]/2)</f>
        <v>2.6528039999999999E-3</v>
      </c>
      <c r="S59" s="8">
        <f>Table11232[[#This Row],[M (KN.mm)]]/(Table11232[[#This Row],[a (mm)]]*Table11232[[#This Row],[b (mm)]]*Table11232[[#This Row],[h (mm)]]*Table11232[[#This Row],[L(mm)]]/2)</f>
        <v>2.4538461538461539E-6</v>
      </c>
      <c r="T59" s="8">
        <f>G59/($AN$5*AK59*0.001*Table11232[[#This Row],[pho (%)]])</f>
        <v>3.2845502396895194E-6</v>
      </c>
      <c r="U59" s="8">
        <f>Table11232[[#This Row],[M (KN.mm)]]/(Table11232[[#This Row],[b (mm)]]*Table11232[[#This Row],[d (mm)]]*Table11232[[#This Row],[pho (%)]])</f>
        <v>1.3144080267558527</v>
      </c>
      <c r="V59" s="8">
        <f>E59*224.8/(2*SQRT(Table11232[[#This Row],[fc (Mpa)]]*145.037)*Table11232[[#This Row],[b (mm)]]*Table11232[[#This Row],[d (mm)]]*(1/25.4)^2)</f>
        <v>2.6371102538050417</v>
      </c>
      <c r="W59" s="8">
        <f>Table11232[[#This Row],[M (KN.mm)]]/$G$59</f>
        <v>1</v>
      </c>
      <c r="X59" s="8">
        <f>E59*224.8/(2*SQRT(Table11232[[#This Row],[fc (Mpa)]]*145.037)*Table11232[[#This Row],[b (mm)]]*Table11232[[#This Row],[d (mm)]]*(1/25.4)^2+Table11232[[#This Row],[Av fy d/s (N)]]*0.2248)</f>
        <v>1.3741412059575717</v>
      </c>
      <c r="Y59" s="15">
        <v>1.2669999999999999</v>
      </c>
      <c r="Z59" s="8">
        <f>Table11232[[#This Row],[Av fy/(b S) (Mpa)]]*Table11232[[#This Row],[d (mm)]]*Table11232[[#This Row],[b (mm)]]</f>
        <v>88943.4</v>
      </c>
      <c r="AA59" s="8">
        <f>Table11232[[#This Row],[d (mm)]]/260</f>
        <v>1.35</v>
      </c>
      <c r="AB59" s="8">
        <f>Table11232[[#This Row],[a/d]]*Table11232[[#This Row],[d]]</f>
        <v>1081.08</v>
      </c>
      <c r="AC59" s="8">
        <f>Table11232[[#This Row],[d]]</f>
        <v>351</v>
      </c>
      <c r="AD59" s="8">
        <v>400</v>
      </c>
      <c r="AE59" s="5">
        <v>200</v>
      </c>
      <c r="AF59" s="1">
        <v>68.900000000000006</v>
      </c>
      <c r="AG59" s="8">
        <f>Table11232[[#This Row],[pho (%)]]/100*Table11232[[#This Row],[b (mm)]]*Table11232[[#This Row],[d (mm)]]</f>
        <v>2098.98</v>
      </c>
      <c r="AH59" s="1">
        <v>2.99</v>
      </c>
      <c r="AI59" s="8">
        <v>500</v>
      </c>
      <c r="AJ59" s="8">
        <f>(1/3-0.21*(MIN(Table11232[[#This Row],[b (mm)]],AD59)/MAX(Table11232[[#This Row],[b (mm)]],AD59))*(MIN(Table11232[[#This Row],[b (mm)]],AD59)^4/(12*MAX(Table11232[[#This Row],[b (mm)]],AD59)^4)))*MAX(Table11232[[#This Row],[b (mm)]],AD59)*MIN(Table11232[[#This Row],[b (mm)]],AD59)^3</f>
        <v>1064916666.6666665</v>
      </c>
      <c r="AK59" s="8">
        <f>Table11232[[#This Row],[b (mm)]]*AD59^3/12</f>
        <v>1066666666.6666666</v>
      </c>
      <c r="AL59" s="8">
        <v>2600</v>
      </c>
      <c r="AM59" s="1"/>
      <c r="AN59" s="1"/>
    </row>
    <row r="60" spans="1:43" x14ac:dyDescent="0.25">
      <c r="A60" s="24" t="s">
        <v>143</v>
      </c>
      <c r="B60" s="15">
        <v>1</v>
      </c>
      <c r="C60" s="3">
        <v>59</v>
      </c>
      <c r="D60" s="15">
        <v>3.06</v>
      </c>
      <c r="E60" s="15">
        <v>40</v>
      </c>
      <c r="F60" s="15">
        <v>353</v>
      </c>
      <c r="G60" s="8">
        <f t="shared" ref="G60:G67" si="32">E60*AB60</f>
        <v>43207.200000000004</v>
      </c>
      <c r="H60" s="8">
        <f t="shared" ref="H60:H67" si="33">G60/($AN$5*AK60*0.001)</f>
        <v>1.5380296846634729E-6</v>
      </c>
      <c r="I60" s="8">
        <f>G60/(Table11232[[#This Row],[b (mm)]]*AC60^2)</f>
        <v>1.7337110481586405E-3</v>
      </c>
      <c r="J60" s="8">
        <f t="shared" ref="J60:J67" si="34">G60/(AG60*AI60*AC60*0.001)</f>
        <v>0.15207991650514391</v>
      </c>
      <c r="K60" s="8">
        <f t="shared" ref="K60:K67" si="35">E60/($AN$4*AJ60*0.001)</f>
        <v>1.1962300809000436E-6</v>
      </c>
      <c r="L60" s="8">
        <f>E60/(Table11232[[#This Row],[b (mm)]]*AC60)</f>
        <v>5.6657223796033991E-4</v>
      </c>
      <c r="M60" s="8">
        <f>Table11232[[#This Row],[M (KN.mm)]]/(Table11232[[#This Row],[b (mm)]]*Table11232[[#This Row],[d (mm)]])</f>
        <v>0.6120000000000001</v>
      </c>
      <c r="N60" s="8">
        <f>Table11232[[#This Row],[M (KN.mm)]]/(Table11232[[#This Row],[b (mm)]]*Table11232[[#This Row],[h (mm)]])</f>
        <v>0.54009000000000007</v>
      </c>
      <c r="O60" s="8">
        <f>Table11232[[#This Row],[M (KN.mm)]]/(Table11232[[#This Row],[b (mm)]]*Table11232[[#This Row],[h (mm)]]*Table11232[[#This Row],[L(mm)]])</f>
        <v>2.077269230769231E-4</v>
      </c>
      <c r="P60" s="8">
        <f>Table11232[[#This Row],[M (KN.mm)]]/(Table11232[[#This Row],[b (mm)]]*Table11232[[#This Row],[d (mm)]]*Table11232[[#This Row],[L(mm)]])</f>
        <v>2.3538461538461541E-4</v>
      </c>
      <c r="Q60" s="8">
        <f>Table11232[[#This Row],[M (KN.mm)]]/(Table11232[[#This Row],[b (mm)]]*Table11232[[#This Row],[h (mm)]]*Table11232[[#This Row],[L(mm)]]*Table11232[[#This Row],[fc (Mpa)]])</f>
        <v>2.3876657824933689E-6</v>
      </c>
      <c r="R60" s="8">
        <f>Table11232[[#This Row],[M (KN.mm)]]/(Table11232[[#This Row],[b (mm)]]*Table11232[[#This Row],[h (mm)]]*Table11232[[#This Row],[L(mm)]]/2)</f>
        <v>4.1545384615384619E-4</v>
      </c>
      <c r="S60" s="8">
        <f>Table11232[[#This Row],[M (KN.mm)]]/(Table11232[[#This Row],[a (mm)]]*Table11232[[#This Row],[b (mm)]]*Table11232[[#This Row],[h (mm)]]*Table11232[[#This Row],[L(mm)]]/2)</f>
        <v>3.8461538461538468E-7</v>
      </c>
      <c r="T60" s="8">
        <f>G60/($AN$5*AK60*0.001*Table11232[[#This Row],[pho (%)]])</f>
        <v>6.7457442309801456E-7</v>
      </c>
      <c r="U60" s="8">
        <f>Table11232[[#This Row],[M (KN.mm)]]/(Table11232[[#This Row],[b (mm)]]*Table11232[[#This Row],[d (mm)]]*Table11232[[#This Row],[pho (%)]])</f>
        <v>0.26842105263157895</v>
      </c>
      <c r="V60" s="8">
        <f>E60*224.8/(2*SQRT(Table11232[[#This Row],[fc (Mpa)]]*145.037)*Table11232[[#This Row],[b (mm)]]*Table11232[[#This Row],[d (mm)]]*(1/25.4)^2)</f>
        <v>0.36575477480746976</v>
      </c>
      <c r="W60" s="8">
        <f>Table11232[[#This Row],[M (KN.mm)]]/$G$68</f>
        <v>0.17777777777777778</v>
      </c>
      <c r="X60" s="8">
        <f>E60*224.8/(2*SQRT(Table11232[[#This Row],[fc (Mpa)]]*145.037)*Table11232[[#This Row],[b (mm)]]*Table11232[[#This Row],[d (mm)]]*(1/25.4)^2+Table11232[[#This Row],[Av fy d/s (N)]]*0.2248)</f>
        <v>0.23077833917888799</v>
      </c>
      <c r="Y60" s="15">
        <v>0.90600000000000003</v>
      </c>
      <c r="Z60" s="8">
        <f>Table11232[[#This Row],[Av fy/(b S) (Mpa)]]*Table11232[[#This Row],[d (mm)]]*Table11232[[#This Row],[b (mm)]]</f>
        <v>63963.6</v>
      </c>
      <c r="AA60" s="8">
        <f>Table11232[[#This Row],[d (mm)]]/260</f>
        <v>1.3576923076923078</v>
      </c>
      <c r="AB60" s="8">
        <f>Table11232[[#This Row],[a/d]]*Table11232[[#This Row],[d]]</f>
        <v>1080.18</v>
      </c>
      <c r="AC60" s="8">
        <f>Table11232[[#This Row],[d]]</f>
        <v>353</v>
      </c>
      <c r="AD60" s="8">
        <v>400</v>
      </c>
      <c r="AE60" s="5">
        <v>200</v>
      </c>
      <c r="AF60" s="1">
        <v>87</v>
      </c>
      <c r="AG60" s="8">
        <f>Table11232[[#This Row],[pho (%)]]/100*Table11232[[#This Row],[b (mm)]]*Table11232[[#This Row],[d (mm)]]</f>
        <v>1609.6799999999998</v>
      </c>
      <c r="AH60" s="1">
        <v>2.2799999999999998</v>
      </c>
      <c r="AI60" s="8">
        <v>500</v>
      </c>
      <c r="AJ60" s="8">
        <f>(1/3-0.21*(MIN(Table11232[[#This Row],[b (mm)]],AD60)/MAX(Table11232[[#This Row],[b (mm)]],AD60))*(MIN(Table11232[[#This Row],[b (mm)]],AD60)^4/(12*MAX(Table11232[[#This Row],[b (mm)]],AD60)^4)))*MAX(Table11232[[#This Row],[b (mm)]],AD60)*MIN(Table11232[[#This Row],[b (mm)]],AD60)^3</f>
        <v>1064916666.6666665</v>
      </c>
      <c r="AK60" s="8">
        <f>Table11232[[#This Row],[b (mm)]]*AD60^3/12</f>
        <v>1066666666.6666666</v>
      </c>
      <c r="AL60" s="8">
        <v>2600</v>
      </c>
      <c r="AM60" s="1"/>
      <c r="AN60" s="1"/>
    </row>
    <row r="61" spans="1:43" x14ac:dyDescent="0.25">
      <c r="A61" s="24" t="s">
        <v>143</v>
      </c>
      <c r="B61" s="15">
        <v>2</v>
      </c>
      <c r="C61" s="3">
        <v>60</v>
      </c>
      <c r="D61" s="15">
        <v>3.06</v>
      </c>
      <c r="E61" s="15">
        <v>60</v>
      </c>
      <c r="F61" s="15">
        <v>353</v>
      </c>
      <c r="G61" s="8">
        <f t="shared" si="32"/>
        <v>64810.8</v>
      </c>
      <c r="H61" s="8">
        <f t="shared" si="33"/>
        <v>2.3070445269952091E-6</v>
      </c>
      <c r="I61" s="8">
        <f>G61/(Table11232[[#This Row],[b (mm)]]*AC61^2)</f>
        <v>2.6005665722379605E-3</v>
      </c>
      <c r="J61" s="8">
        <f t="shared" si="34"/>
        <v>0.22811987475771586</v>
      </c>
      <c r="K61" s="8">
        <f t="shared" si="35"/>
        <v>1.7943451213500656E-6</v>
      </c>
      <c r="L61" s="8">
        <f>E61/(Table11232[[#This Row],[b (mm)]]*AC61)</f>
        <v>8.4985835694050991E-4</v>
      </c>
      <c r="M61" s="8">
        <f>Table11232[[#This Row],[M (KN.mm)]]/(Table11232[[#This Row],[b (mm)]]*Table11232[[#This Row],[d (mm)]])</f>
        <v>0.91800000000000004</v>
      </c>
      <c r="N61" s="8">
        <f>Table11232[[#This Row],[M (KN.mm)]]/(Table11232[[#This Row],[b (mm)]]*Table11232[[#This Row],[h (mm)]])</f>
        <v>0.81013500000000005</v>
      </c>
      <c r="O61" s="8">
        <f>Table11232[[#This Row],[M (KN.mm)]]/(Table11232[[#This Row],[b (mm)]]*Table11232[[#This Row],[h (mm)]]*Table11232[[#This Row],[L(mm)]])</f>
        <v>3.1159038461538462E-4</v>
      </c>
      <c r="P61" s="8">
        <f>Table11232[[#This Row],[M (KN.mm)]]/(Table11232[[#This Row],[b (mm)]]*Table11232[[#This Row],[d (mm)]]*Table11232[[#This Row],[L(mm)]])</f>
        <v>3.5307692307692308E-4</v>
      </c>
      <c r="Q61" s="8">
        <f>Table11232[[#This Row],[M (KN.mm)]]/(Table11232[[#This Row],[b (mm)]]*Table11232[[#This Row],[h (mm)]]*Table11232[[#This Row],[L(mm)]]*Table11232[[#This Row],[fc (Mpa)]])</f>
        <v>3.5814986737400532E-6</v>
      </c>
      <c r="R61" s="8">
        <f>Table11232[[#This Row],[M (KN.mm)]]/(Table11232[[#This Row],[b (mm)]]*Table11232[[#This Row],[h (mm)]]*Table11232[[#This Row],[L(mm)]]/2)</f>
        <v>6.2318076923076923E-4</v>
      </c>
      <c r="S61" s="8">
        <f>Table11232[[#This Row],[M (KN.mm)]]/(Table11232[[#This Row],[a (mm)]]*Table11232[[#This Row],[b (mm)]]*Table11232[[#This Row],[h (mm)]]*Table11232[[#This Row],[L(mm)]]/2)</f>
        <v>5.7692307692307691E-7</v>
      </c>
      <c r="T61" s="8">
        <f>G61/($AN$5*AK61*0.001*Table11232[[#This Row],[pho (%)]])</f>
        <v>1.0118616346470217E-6</v>
      </c>
      <c r="U61" s="8">
        <f>Table11232[[#This Row],[M (KN.mm)]]/(Table11232[[#This Row],[b (mm)]]*Table11232[[#This Row],[d (mm)]]*Table11232[[#This Row],[pho (%)]])</f>
        <v>0.40263157894736845</v>
      </c>
      <c r="V61" s="8">
        <f>E61*224.8/(2*SQRT(Table11232[[#This Row],[fc (Mpa)]]*145.037)*Table11232[[#This Row],[b (mm)]]*Table11232[[#This Row],[d (mm)]]*(1/25.4)^2)</f>
        <v>0.54863216221120459</v>
      </c>
      <c r="W61" s="8">
        <f>Table11232[[#This Row],[M (KN.mm)]]/$G$68</f>
        <v>0.26666666666666666</v>
      </c>
      <c r="X61" s="8">
        <f>E61*224.8/(2*SQRT(Table11232[[#This Row],[fc (Mpa)]]*145.037)*Table11232[[#This Row],[b (mm)]]*Table11232[[#This Row],[d (mm)]]*(1/25.4)^2+Table11232[[#This Row],[Av fy d/s (N)]]*0.2248)</f>
        <v>0.34616750876833197</v>
      </c>
      <c r="Y61" s="15">
        <v>0.90600000000000003</v>
      </c>
      <c r="Z61" s="8">
        <f>Table11232[[#This Row],[Av fy/(b S) (Mpa)]]*Table11232[[#This Row],[d (mm)]]*Table11232[[#This Row],[b (mm)]]</f>
        <v>63963.6</v>
      </c>
      <c r="AA61" s="8">
        <f>Table11232[[#This Row],[d (mm)]]/260</f>
        <v>1.3576923076923078</v>
      </c>
      <c r="AB61" s="8">
        <f>Table11232[[#This Row],[a/d]]*Table11232[[#This Row],[d]]</f>
        <v>1080.18</v>
      </c>
      <c r="AC61" s="8">
        <f>Table11232[[#This Row],[d]]</f>
        <v>353</v>
      </c>
      <c r="AD61" s="8">
        <v>400</v>
      </c>
      <c r="AE61" s="5">
        <v>200</v>
      </c>
      <c r="AF61" s="1">
        <v>87</v>
      </c>
      <c r="AG61" s="8">
        <f>Table11232[[#This Row],[pho (%)]]/100*Table11232[[#This Row],[b (mm)]]*Table11232[[#This Row],[d (mm)]]</f>
        <v>1609.6799999999998</v>
      </c>
      <c r="AH61" s="1">
        <v>2.2799999999999998</v>
      </c>
      <c r="AI61" s="8">
        <v>500</v>
      </c>
      <c r="AJ61" s="8">
        <f>(1/3-0.21*(MIN(Table11232[[#This Row],[b (mm)]],AD61)/MAX(Table11232[[#This Row],[b (mm)]],AD61))*(MIN(Table11232[[#This Row],[b (mm)]],AD61)^4/(12*MAX(Table11232[[#This Row],[b (mm)]],AD61)^4)))*MAX(Table11232[[#This Row],[b (mm)]],AD61)*MIN(Table11232[[#This Row],[b (mm)]],AD61)^3</f>
        <v>1064916666.6666665</v>
      </c>
      <c r="AK61" s="8">
        <f>Table11232[[#This Row],[b (mm)]]*AD61^3/12</f>
        <v>1066666666.6666666</v>
      </c>
      <c r="AL61" s="8">
        <v>2600</v>
      </c>
      <c r="AM61" s="1"/>
      <c r="AN61" s="1"/>
    </row>
    <row r="62" spans="1:43" x14ac:dyDescent="0.25">
      <c r="A62" s="24" t="s">
        <v>143</v>
      </c>
      <c r="B62" s="15">
        <v>3</v>
      </c>
      <c r="C62" s="3">
        <v>61</v>
      </c>
      <c r="D62" s="15">
        <v>3.06</v>
      </c>
      <c r="E62" s="15">
        <v>85</v>
      </c>
      <c r="F62" s="15">
        <v>353</v>
      </c>
      <c r="G62" s="8">
        <f t="shared" si="32"/>
        <v>91815.3</v>
      </c>
      <c r="H62" s="8">
        <f t="shared" si="33"/>
        <v>3.2683130799098796E-6</v>
      </c>
      <c r="I62" s="8">
        <f>G62/(Table11232[[#This Row],[b (mm)]]*AC62^2)</f>
        <v>3.6841359773371104E-3</v>
      </c>
      <c r="J62" s="8">
        <f t="shared" si="34"/>
        <v>0.3231698225734308</v>
      </c>
      <c r="K62" s="8">
        <f t="shared" si="35"/>
        <v>2.5419889219125928E-6</v>
      </c>
      <c r="L62" s="8">
        <f>E62/(Table11232[[#This Row],[b (mm)]]*AC62)</f>
        <v>1.2039660056657223E-3</v>
      </c>
      <c r="M62" s="8">
        <f>Table11232[[#This Row],[M (KN.mm)]]/(Table11232[[#This Row],[b (mm)]]*Table11232[[#This Row],[d (mm)]])</f>
        <v>1.3005</v>
      </c>
      <c r="N62" s="8">
        <f>Table11232[[#This Row],[M (KN.mm)]]/(Table11232[[#This Row],[b (mm)]]*Table11232[[#This Row],[h (mm)]])</f>
        <v>1.1476912500000001</v>
      </c>
      <c r="O62" s="8">
        <f>Table11232[[#This Row],[M (KN.mm)]]/(Table11232[[#This Row],[b (mm)]]*Table11232[[#This Row],[h (mm)]]*Table11232[[#This Row],[L(mm)]])</f>
        <v>4.4141971153846153E-4</v>
      </c>
      <c r="P62" s="8">
        <f>Table11232[[#This Row],[M (KN.mm)]]/(Table11232[[#This Row],[b (mm)]]*Table11232[[#This Row],[d (mm)]]*Table11232[[#This Row],[L(mm)]])</f>
        <v>5.0019230769230772E-4</v>
      </c>
      <c r="Q62" s="8">
        <f>Table11232[[#This Row],[M (KN.mm)]]/(Table11232[[#This Row],[b (mm)]]*Table11232[[#This Row],[h (mm)]]*Table11232[[#This Row],[L(mm)]]*Table11232[[#This Row],[fc (Mpa)]])</f>
        <v>5.0737897877984089E-6</v>
      </c>
      <c r="R62" s="8">
        <f>Table11232[[#This Row],[M (KN.mm)]]/(Table11232[[#This Row],[b (mm)]]*Table11232[[#This Row],[h (mm)]]*Table11232[[#This Row],[L(mm)]]/2)</f>
        <v>8.8283942307692306E-4</v>
      </c>
      <c r="S62" s="8">
        <f>Table11232[[#This Row],[M (KN.mm)]]/(Table11232[[#This Row],[a (mm)]]*Table11232[[#This Row],[b (mm)]]*Table11232[[#This Row],[h (mm)]]*Table11232[[#This Row],[L(mm)]]/2)</f>
        <v>8.1730769230769228E-7</v>
      </c>
      <c r="T62" s="8">
        <f>G62/($AN$5*AK62*0.001*Table11232[[#This Row],[pho (%)]])</f>
        <v>1.4334706490832808E-6</v>
      </c>
      <c r="U62" s="8">
        <f>Table11232[[#This Row],[M (KN.mm)]]/(Table11232[[#This Row],[b (mm)]]*Table11232[[#This Row],[d (mm)]]*Table11232[[#This Row],[pho (%)]])</f>
        <v>0.57039473684210529</v>
      </c>
      <c r="V62" s="8">
        <f>E62*224.8/(2*SQRT(Table11232[[#This Row],[fc (Mpa)]]*145.037)*Table11232[[#This Row],[b (mm)]]*Table11232[[#This Row],[d (mm)]]*(1/25.4)^2)</f>
        <v>0.77722889646587323</v>
      </c>
      <c r="W62" s="8">
        <f>Table11232[[#This Row],[M (KN.mm)]]/$G$68</f>
        <v>0.37777777777777777</v>
      </c>
      <c r="X62" s="8">
        <f>E62*224.8/(2*SQRT(Table11232[[#This Row],[fc (Mpa)]]*145.037)*Table11232[[#This Row],[b (mm)]]*Table11232[[#This Row],[d (mm)]]*(1/25.4)^2+Table11232[[#This Row],[Av fy d/s (N)]]*0.2248)</f>
        <v>0.49040397075513698</v>
      </c>
      <c r="Y62" s="15">
        <v>0.90600000000000003</v>
      </c>
      <c r="Z62" s="8">
        <f>Table11232[[#This Row],[Av fy/(b S) (Mpa)]]*Table11232[[#This Row],[d (mm)]]*Table11232[[#This Row],[b (mm)]]</f>
        <v>63963.6</v>
      </c>
      <c r="AA62" s="8">
        <f>Table11232[[#This Row],[d (mm)]]/260</f>
        <v>1.3576923076923078</v>
      </c>
      <c r="AB62" s="8">
        <f>Table11232[[#This Row],[a/d]]*Table11232[[#This Row],[d]]</f>
        <v>1080.18</v>
      </c>
      <c r="AC62" s="8">
        <f>Table11232[[#This Row],[d]]</f>
        <v>353</v>
      </c>
      <c r="AD62" s="8">
        <v>400</v>
      </c>
      <c r="AE62" s="5">
        <v>200</v>
      </c>
      <c r="AF62" s="1">
        <v>87</v>
      </c>
      <c r="AG62" s="8">
        <f>Table11232[[#This Row],[pho (%)]]/100*Table11232[[#This Row],[b (mm)]]*Table11232[[#This Row],[d (mm)]]</f>
        <v>1609.6799999999998</v>
      </c>
      <c r="AH62" s="1">
        <v>2.2799999999999998</v>
      </c>
      <c r="AI62" s="8">
        <v>500</v>
      </c>
      <c r="AJ62" s="8">
        <f>(1/3-0.21*(MIN(Table11232[[#This Row],[b (mm)]],AD62)/MAX(Table11232[[#This Row],[b (mm)]],AD62))*(MIN(Table11232[[#This Row],[b (mm)]],AD62)^4/(12*MAX(Table11232[[#This Row],[b (mm)]],AD62)^4)))*MAX(Table11232[[#This Row],[b (mm)]],AD62)*MIN(Table11232[[#This Row],[b (mm)]],AD62)^3</f>
        <v>1064916666.6666665</v>
      </c>
      <c r="AK62" s="8">
        <f>Table11232[[#This Row],[b (mm)]]*AD62^3/12</f>
        <v>1066666666.6666666</v>
      </c>
      <c r="AL62" s="8">
        <v>2600</v>
      </c>
      <c r="AM62" s="1"/>
      <c r="AN62" s="1"/>
    </row>
    <row r="63" spans="1:43" x14ac:dyDescent="0.25">
      <c r="A63" s="24" t="s">
        <v>143</v>
      </c>
      <c r="B63" s="15">
        <v>4</v>
      </c>
      <c r="C63" s="3">
        <v>62</v>
      </c>
      <c r="D63" s="15">
        <v>3.06</v>
      </c>
      <c r="E63" s="15">
        <v>110</v>
      </c>
      <c r="F63" s="15">
        <v>353</v>
      </c>
      <c r="G63" s="8">
        <f t="shared" si="32"/>
        <v>118819.8</v>
      </c>
      <c r="H63" s="8">
        <f t="shared" si="33"/>
        <v>4.2295816328245506E-6</v>
      </c>
      <c r="I63" s="8">
        <f>G63/(Table11232[[#This Row],[b (mm)]]*AC63^2)</f>
        <v>4.7677053824362612E-3</v>
      </c>
      <c r="J63" s="8">
        <f t="shared" si="34"/>
        <v>0.41821977038914576</v>
      </c>
      <c r="K63" s="8">
        <f t="shared" si="35"/>
        <v>3.28963272247512E-6</v>
      </c>
      <c r="L63" s="8">
        <f>E63/(Table11232[[#This Row],[b (mm)]]*AC63)</f>
        <v>1.5580736543909348E-3</v>
      </c>
      <c r="M63" s="8">
        <f>Table11232[[#This Row],[M (KN.mm)]]/(Table11232[[#This Row],[b (mm)]]*Table11232[[#This Row],[d (mm)]])</f>
        <v>1.6830000000000001</v>
      </c>
      <c r="N63" s="8">
        <f>Table11232[[#This Row],[M (KN.mm)]]/(Table11232[[#This Row],[b (mm)]]*Table11232[[#This Row],[h (mm)]])</f>
        <v>1.4852475000000001</v>
      </c>
      <c r="O63" s="8">
        <f>Table11232[[#This Row],[M (KN.mm)]]/(Table11232[[#This Row],[b (mm)]]*Table11232[[#This Row],[h (mm)]]*Table11232[[#This Row],[L(mm)]])</f>
        <v>5.7124903846153844E-4</v>
      </c>
      <c r="P63" s="8">
        <f>Table11232[[#This Row],[M (KN.mm)]]/(Table11232[[#This Row],[b (mm)]]*Table11232[[#This Row],[d (mm)]]*Table11232[[#This Row],[L(mm)]])</f>
        <v>6.4730769230769236E-4</v>
      </c>
      <c r="Q63" s="8">
        <f>Table11232[[#This Row],[M (KN.mm)]]/(Table11232[[#This Row],[b (mm)]]*Table11232[[#This Row],[h (mm)]]*Table11232[[#This Row],[L(mm)]]*Table11232[[#This Row],[fc (Mpa)]])</f>
        <v>6.5660809018567643E-6</v>
      </c>
      <c r="R63" s="8">
        <f>Table11232[[#This Row],[M (KN.mm)]]/(Table11232[[#This Row],[b (mm)]]*Table11232[[#This Row],[h (mm)]]*Table11232[[#This Row],[L(mm)]]/2)</f>
        <v>1.1424980769230769E-3</v>
      </c>
      <c r="S63" s="8">
        <f>Table11232[[#This Row],[M (KN.mm)]]/(Table11232[[#This Row],[a (mm)]]*Table11232[[#This Row],[b (mm)]]*Table11232[[#This Row],[h (mm)]]*Table11232[[#This Row],[L(mm)]]/2)</f>
        <v>1.0576923076923078E-6</v>
      </c>
      <c r="T63" s="8">
        <f>G63/($AN$5*AK63*0.001*Table11232[[#This Row],[pho (%)]])</f>
        <v>1.8550796635195398E-6</v>
      </c>
      <c r="U63" s="8">
        <f>Table11232[[#This Row],[M (KN.mm)]]/(Table11232[[#This Row],[b (mm)]]*Table11232[[#This Row],[d (mm)]]*Table11232[[#This Row],[pho (%)]])</f>
        <v>0.73815789473684212</v>
      </c>
      <c r="V63" s="8">
        <f>E63*224.8/(2*SQRT(Table11232[[#This Row],[fc (Mpa)]]*145.037)*Table11232[[#This Row],[b (mm)]]*Table11232[[#This Row],[d (mm)]]*(1/25.4)^2)</f>
        <v>1.0058256307205418</v>
      </c>
      <c r="W63" s="8">
        <f>Table11232[[#This Row],[M (KN.mm)]]/$G$68</f>
        <v>0.48888888888888893</v>
      </c>
      <c r="X63" s="8">
        <f>E63*224.8/(2*SQRT(Table11232[[#This Row],[fc (Mpa)]]*145.037)*Table11232[[#This Row],[b (mm)]]*Table11232[[#This Row],[d (mm)]]*(1/25.4)^2+Table11232[[#This Row],[Av fy d/s (N)]]*0.2248)</f>
        <v>0.63464043274194193</v>
      </c>
      <c r="Y63" s="15">
        <v>0.90600000000000003</v>
      </c>
      <c r="Z63" s="8">
        <f>Table11232[[#This Row],[Av fy/(b S) (Mpa)]]*Table11232[[#This Row],[d (mm)]]*Table11232[[#This Row],[b (mm)]]</f>
        <v>63963.6</v>
      </c>
      <c r="AA63" s="8">
        <f>Table11232[[#This Row],[d (mm)]]/260</f>
        <v>1.3576923076923078</v>
      </c>
      <c r="AB63" s="8">
        <f>Table11232[[#This Row],[a/d]]*Table11232[[#This Row],[d]]</f>
        <v>1080.18</v>
      </c>
      <c r="AC63" s="8">
        <f>Table11232[[#This Row],[d]]</f>
        <v>353</v>
      </c>
      <c r="AD63" s="8">
        <v>400</v>
      </c>
      <c r="AE63" s="5">
        <v>200</v>
      </c>
      <c r="AF63" s="1">
        <v>87</v>
      </c>
      <c r="AG63" s="8">
        <f>Table11232[[#This Row],[pho (%)]]/100*Table11232[[#This Row],[b (mm)]]*Table11232[[#This Row],[d (mm)]]</f>
        <v>1609.6799999999998</v>
      </c>
      <c r="AH63" s="1">
        <v>2.2799999999999998</v>
      </c>
      <c r="AI63" s="8">
        <v>500</v>
      </c>
      <c r="AJ63" s="8">
        <f>(1/3-0.21*(MIN(Table11232[[#This Row],[b (mm)]],AD63)/MAX(Table11232[[#This Row],[b (mm)]],AD63))*(MIN(Table11232[[#This Row],[b (mm)]],AD63)^4/(12*MAX(Table11232[[#This Row],[b (mm)]],AD63)^4)))*MAX(Table11232[[#This Row],[b (mm)]],AD63)*MIN(Table11232[[#This Row],[b (mm)]],AD63)^3</f>
        <v>1064916666.6666665</v>
      </c>
      <c r="AK63" s="8">
        <f>Table11232[[#This Row],[b (mm)]]*AD63^3/12</f>
        <v>1066666666.6666666</v>
      </c>
      <c r="AL63" s="8">
        <v>2600</v>
      </c>
      <c r="AM63" s="1"/>
      <c r="AN63" s="1"/>
      <c r="AQ63" s="1"/>
    </row>
    <row r="64" spans="1:43" x14ac:dyDescent="0.25">
      <c r="A64" s="24" t="s">
        <v>143</v>
      </c>
      <c r="B64" s="15">
        <v>5</v>
      </c>
      <c r="C64" s="3">
        <v>63</v>
      </c>
      <c r="D64" s="15">
        <v>3.06</v>
      </c>
      <c r="E64" s="15">
        <v>130</v>
      </c>
      <c r="F64" s="15">
        <v>353</v>
      </c>
      <c r="G64" s="8">
        <f t="shared" si="32"/>
        <v>140423.4</v>
      </c>
      <c r="H64" s="8">
        <f t="shared" si="33"/>
        <v>4.9985964751562868E-6</v>
      </c>
      <c r="I64" s="8">
        <f>G64/(Table11232[[#This Row],[b (mm)]]*AC64^2)</f>
        <v>5.6345609065155807E-3</v>
      </c>
      <c r="J64" s="8">
        <f t="shared" si="34"/>
        <v>0.49425972864171763</v>
      </c>
      <c r="K64" s="8">
        <f t="shared" si="35"/>
        <v>3.8877477629251424E-6</v>
      </c>
      <c r="L64" s="8">
        <f>E64/(Table11232[[#This Row],[b (mm)]]*AC64)</f>
        <v>1.8413597733711049E-3</v>
      </c>
      <c r="M64" s="8">
        <f>Table11232[[#This Row],[M (KN.mm)]]/(Table11232[[#This Row],[b (mm)]]*Table11232[[#This Row],[d (mm)]])</f>
        <v>1.9889999999999999</v>
      </c>
      <c r="N64" s="8">
        <f>Table11232[[#This Row],[M (KN.mm)]]/(Table11232[[#This Row],[b (mm)]]*Table11232[[#This Row],[h (mm)]])</f>
        <v>1.7552924999999999</v>
      </c>
      <c r="O64" s="8">
        <f>Table11232[[#This Row],[M (KN.mm)]]/(Table11232[[#This Row],[b (mm)]]*Table11232[[#This Row],[h (mm)]]*Table11232[[#This Row],[L(mm)]])</f>
        <v>6.7511250000000002E-4</v>
      </c>
      <c r="P64" s="8">
        <f>Table11232[[#This Row],[M (KN.mm)]]/(Table11232[[#This Row],[b (mm)]]*Table11232[[#This Row],[d (mm)]]*Table11232[[#This Row],[L(mm)]])</f>
        <v>7.6499999999999995E-4</v>
      </c>
      <c r="Q64" s="8">
        <f>Table11232[[#This Row],[M (KN.mm)]]/(Table11232[[#This Row],[b (mm)]]*Table11232[[#This Row],[h (mm)]]*Table11232[[#This Row],[L(mm)]]*Table11232[[#This Row],[fc (Mpa)]])</f>
        <v>7.7599137931034477E-6</v>
      </c>
      <c r="R64" s="8">
        <f>Table11232[[#This Row],[M (KN.mm)]]/(Table11232[[#This Row],[b (mm)]]*Table11232[[#This Row],[h (mm)]]*Table11232[[#This Row],[L(mm)]]/2)</f>
        <v>1.350225E-3</v>
      </c>
      <c r="S64" s="8">
        <f>Table11232[[#This Row],[M (KN.mm)]]/(Table11232[[#This Row],[a (mm)]]*Table11232[[#This Row],[b (mm)]]*Table11232[[#This Row],[h (mm)]]*Table11232[[#This Row],[L(mm)]]/2)</f>
        <v>1.2499999999999999E-6</v>
      </c>
      <c r="T64" s="8">
        <f>G64/($AN$5*AK64*0.001*Table11232[[#This Row],[pho (%)]])</f>
        <v>2.1923668750685468E-6</v>
      </c>
      <c r="U64" s="8">
        <f>Table11232[[#This Row],[M (KN.mm)]]/(Table11232[[#This Row],[b (mm)]]*Table11232[[#This Row],[d (mm)]]*Table11232[[#This Row],[pho (%)]])</f>
        <v>0.87236842105263157</v>
      </c>
      <c r="V64" s="8">
        <f>E64*224.8/(2*SQRT(Table11232[[#This Row],[fc (Mpa)]]*145.037)*Table11232[[#This Row],[b (mm)]]*Table11232[[#This Row],[d (mm)]]*(1/25.4)^2)</f>
        <v>1.1887030181242766</v>
      </c>
      <c r="W64" s="8">
        <f>Table11232[[#This Row],[M (KN.mm)]]/$G$68</f>
        <v>0.57777777777777772</v>
      </c>
      <c r="X64" s="8">
        <f>E64*224.8/(2*SQRT(Table11232[[#This Row],[fc (Mpa)]]*145.037)*Table11232[[#This Row],[b (mm)]]*Table11232[[#This Row],[d (mm)]]*(1/25.4)^2+Table11232[[#This Row],[Av fy d/s (N)]]*0.2248)</f>
        <v>0.75002960233138594</v>
      </c>
      <c r="Y64" s="15">
        <v>0.90600000000000003</v>
      </c>
      <c r="Z64" s="8">
        <f>Table11232[[#This Row],[Av fy/(b S) (Mpa)]]*Table11232[[#This Row],[d (mm)]]*Table11232[[#This Row],[b (mm)]]</f>
        <v>63963.6</v>
      </c>
      <c r="AA64" s="8">
        <f>Table11232[[#This Row],[d (mm)]]/260</f>
        <v>1.3576923076923078</v>
      </c>
      <c r="AB64" s="8">
        <f>Table11232[[#This Row],[a/d]]*Table11232[[#This Row],[d]]</f>
        <v>1080.18</v>
      </c>
      <c r="AC64" s="8">
        <f>Table11232[[#This Row],[d]]</f>
        <v>353</v>
      </c>
      <c r="AD64" s="8">
        <v>400</v>
      </c>
      <c r="AE64" s="5">
        <v>200</v>
      </c>
      <c r="AF64" s="1">
        <v>87</v>
      </c>
      <c r="AG64" s="8">
        <f>Table11232[[#This Row],[pho (%)]]/100*Table11232[[#This Row],[b (mm)]]*Table11232[[#This Row],[d (mm)]]</f>
        <v>1609.6799999999998</v>
      </c>
      <c r="AH64" s="1">
        <v>2.2799999999999998</v>
      </c>
      <c r="AI64" s="8">
        <v>500</v>
      </c>
      <c r="AJ64" s="8">
        <f>(1/3-0.21*(MIN(Table11232[[#This Row],[b (mm)]],AD64)/MAX(Table11232[[#This Row],[b (mm)]],AD64))*(MIN(Table11232[[#This Row],[b (mm)]],AD64)^4/(12*MAX(Table11232[[#This Row],[b (mm)]],AD64)^4)))*MAX(Table11232[[#This Row],[b (mm)]],AD64)*MIN(Table11232[[#This Row],[b (mm)]],AD64)^3</f>
        <v>1064916666.6666665</v>
      </c>
      <c r="AK64" s="8">
        <f>Table11232[[#This Row],[b (mm)]]*AD64^3/12</f>
        <v>1066666666.6666666</v>
      </c>
      <c r="AL64" s="8">
        <v>2600</v>
      </c>
      <c r="AM64" s="1"/>
      <c r="AN64" s="1"/>
      <c r="AQ64" s="1"/>
    </row>
    <row r="65" spans="1:43" x14ac:dyDescent="0.25">
      <c r="A65" s="24" t="s">
        <v>143</v>
      </c>
      <c r="B65" s="15">
        <v>6</v>
      </c>
      <c r="C65" s="3">
        <v>64</v>
      </c>
      <c r="D65" s="15">
        <v>3.06</v>
      </c>
      <c r="E65" s="15">
        <v>140</v>
      </c>
      <c r="F65" s="15">
        <v>353</v>
      </c>
      <c r="G65" s="8">
        <f t="shared" si="32"/>
        <v>151225.20000000001</v>
      </c>
      <c r="H65" s="8">
        <f t="shared" si="33"/>
        <v>5.3831038963221553E-6</v>
      </c>
      <c r="I65" s="8">
        <f>G65/(Table11232[[#This Row],[b (mm)]]*AC65^2)</f>
        <v>6.0679886685552414E-3</v>
      </c>
      <c r="J65" s="8">
        <f t="shared" si="34"/>
        <v>0.53227970776800371</v>
      </c>
      <c r="K65" s="8">
        <f t="shared" si="35"/>
        <v>4.1868052831501528E-6</v>
      </c>
      <c r="L65" s="8">
        <f>E65/(Table11232[[#This Row],[b (mm)]]*AC65)</f>
        <v>1.9830028328611899E-3</v>
      </c>
      <c r="M65" s="8">
        <f>Table11232[[#This Row],[M (KN.mm)]]/(Table11232[[#This Row],[b (mm)]]*Table11232[[#This Row],[d (mm)]])</f>
        <v>2.1420000000000003</v>
      </c>
      <c r="N65" s="8">
        <f>Table11232[[#This Row],[M (KN.mm)]]/(Table11232[[#This Row],[b (mm)]]*Table11232[[#This Row],[h (mm)]])</f>
        <v>1.8903150000000002</v>
      </c>
      <c r="O65" s="8">
        <f>Table11232[[#This Row],[M (KN.mm)]]/(Table11232[[#This Row],[b (mm)]]*Table11232[[#This Row],[h (mm)]]*Table11232[[#This Row],[L(mm)]])</f>
        <v>7.2704423076923081E-4</v>
      </c>
      <c r="P65" s="8">
        <f>Table11232[[#This Row],[M (KN.mm)]]/(Table11232[[#This Row],[b (mm)]]*Table11232[[#This Row],[d (mm)]]*Table11232[[#This Row],[L(mm)]])</f>
        <v>8.2384615384615396E-4</v>
      </c>
      <c r="Q65" s="8">
        <f>Table11232[[#This Row],[M (KN.mm)]]/(Table11232[[#This Row],[b (mm)]]*Table11232[[#This Row],[h (mm)]]*Table11232[[#This Row],[L(mm)]]*Table11232[[#This Row],[fc (Mpa)]])</f>
        <v>8.3568302387267915E-6</v>
      </c>
      <c r="R65" s="8">
        <f>Table11232[[#This Row],[M (KN.mm)]]/(Table11232[[#This Row],[b (mm)]]*Table11232[[#This Row],[h (mm)]]*Table11232[[#This Row],[L(mm)]]/2)</f>
        <v>1.4540884615384616E-3</v>
      </c>
      <c r="S65" s="8">
        <f>Table11232[[#This Row],[M (KN.mm)]]/(Table11232[[#This Row],[a (mm)]]*Table11232[[#This Row],[b (mm)]]*Table11232[[#This Row],[h (mm)]]*Table11232[[#This Row],[L(mm)]]/2)</f>
        <v>1.3461538461538462E-6</v>
      </c>
      <c r="T65" s="8">
        <f>G65/($AN$5*AK65*0.001*Table11232[[#This Row],[pho (%)]])</f>
        <v>2.3610104808430509E-6</v>
      </c>
      <c r="U65" s="8">
        <f>Table11232[[#This Row],[M (KN.mm)]]/(Table11232[[#This Row],[b (mm)]]*Table11232[[#This Row],[d (mm)]]*Table11232[[#This Row],[pho (%)]])</f>
        <v>0.93947368421052635</v>
      </c>
      <c r="V65" s="8">
        <f>E65*224.8/(2*SQRT(Table11232[[#This Row],[fc (Mpa)]]*145.037)*Table11232[[#This Row],[b (mm)]]*Table11232[[#This Row],[d (mm)]]*(1/25.4)^2)</f>
        <v>1.280141711826144</v>
      </c>
      <c r="W65" s="8">
        <f>Table11232[[#This Row],[M (KN.mm)]]/$G$68</f>
        <v>0.62222222222222223</v>
      </c>
      <c r="X65" s="8">
        <f>E65*224.8/(2*SQRT(Table11232[[#This Row],[fc (Mpa)]]*145.037)*Table11232[[#This Row],[b (mm)]]*Table11232[[#This Row],[d (mm)]]*(1/25.4)^2+Table11232[[#This Row],[Av fy d/s (N)]]*0.2248)</f>
        <v>0.80772418712610794</v>
      </c>
      <c r="Y65" s="15">
        <v>0.90600000000000003</v>
      </c>
      <c r="Z65" s="8">
        <f>Table11232[[#This Row],[Av fy/(b S) (Mpa)]]*Table11232[[#This Row],[d (mm)]]*Table11232[[#This Row],[b (mm)]]</f>
        <v>63963.6</v>
      </c>
      <c r="AA65" s="8">
        <f>Table11232[[#This Row],[d (mm)]]/260</f>
        <v>1.3576923076923078</v>
      </c>
      <c r="AB65" s="8">
        <f>Table11232[[#This Row],[a/d]]*Table11232[[#This Row],[d]]</f>
        <v>1080.18</v>
      </c>
      <c r="AC65" s="8">
        <f>Table11232[[#This Row],[d]]</f>
        <v>353</v>
      </c>
      <c r="AD65" s="8">
        <v>400</v>
      </c>
      <c r="AE65" s="5">
        <v>200</v>
      </c>
      <c r="AF65" s="1">
        <v>87</v>
      </c>
      <c r="AG65" s="8">
        <f>Table11232[[#This Row],[pho (%)]]/100*Table11232[[#This Row],[b (mm)]]*Table11232[[#This Row],[d (mm)]]</f>
        <v>1609.6799999999998</v>
      </c>
      <c r="AH65" s="1">
        <v>2.2799999999999998</v>
      </c>
      <c r="AI65" s="8">
        <v>500</v>
      </c>
      <c r="AJ65" s="8">
        <f>(1/3-0.21*(MIN(Table11232[[#This Row],[b (mm)]],AD65)/MAX(Table11232[[#This Row],[b (mm)]],AD65))*(MIN(Table11232[[#This Row],[b (mm)]],AD65)^4/(12*MAX(Table11232[[#This Row],[b (mm)]],AD65)^4)))*MAX(Table11232[[#This Row],[b (mm)]],AD65)*MIN(Table11232[[#This Row],[b (mm)]],AD65)^3</f>
        <v>1064916666.6666665</v>
      </c>
      <c r="AK65" s="8">
        <f>Table11232[[#This Row],[b (mm)]]*AD65^3/12</f>
        <v>1066666666.6666666</v>
      </c>
      <c r="AL65" s="8">
        <v>2600</v>
      </c>
      <c r="AM65" s="1"/>
      <c r="AN65" s="1"/>
      <c r="AQ65" s="1"/>
    </row>
    <row r="66" spans="1:43" x14ac:dyDescent="0.25">
      <c r="A66" s="24" t="s">
        <v>143</v>
      </c>
      <c r="B66" s="15">
        <v>7</v>
      </c>
      <c r="C66" s="3">
        <v>65</v>
      </c>
      <c r="D66" s="15">
        <v>3.06</v>
      </c>
      <c r="E66" s="15">
        <v>165</v>
      </c>
      <c r="F66" s="15">
        <v>353</v>
      </c>
      <c r="G66" s="8">
        <f t="shared" si="32"/>
        <v>178229.7</v>
      </c>
      <c r="H66" s="8">
        <f t="shared" si="33"/>
        <v>6.3443724492368254E-6</v>
      </c>
      <c r="I66" s="8">
        <f>G66/(Table11232[[#This Row],[b (mm)]]*AC66^2)</f>
        <v>7.1515580736543913E-3</v>
      </c>
      <c r="J66" s="8">
        <f t="shared" si="34"/>
        <v>0.62732965558371867</v>
      </c>
      <c r="K66" s="8">
        <f t="shared" si="35"/>
        <v>4.93444908371268E-6</v>
      </c>
      <c r="L66" s="8">
        <f>E66/(Table11232[[#This Row],[b (mm)]]*AC66)</f>
        <v>2.3371104815864021E-3</v>
      </c>
      <c r="M66" s="8">
        <f>Table11232[[#This Row],[M (KN.mm)]]/(Table11232[[#This Row],[b (mm)]]*Table11232[[#This Row],[d (mm)]])</f>
        <v>2.5245000000000002</v>
      </c>
      <c r="N66" s="8">
        <f>Table11232[[#This Row],[M (KN.mm)]]/(Table11232[[#This Row],[b (mm)]]*Table11232[[#This Row],[h (mm)]])</f>
        <v>2.2278712500000002</v>
      </c>
      <c r="O66" s="8">
        <f>Table11232[[#This Row],[M (KN.mm)]]/(Table11232[[#This Row],[b (mm)]]*Table11232[[#This Row],[h (mm)]]*Table11232[[#This Row],[L(mm)]])</f>
        <v>8.5687355769230777E-4</v>
      </c>
      <c r="P66" s="8">
        <f>Table11232[[#This Row],[M (KN.mm)]]/(Table11232[[#This Row],[b (mm)]]*Table11232[[#This Row],[d (mm)]]*Table11232[[#This Row],[L(mm)]])</f>
        <v>9.7096153846153849E-4</v>
      </c>
      <c r="Q66" s="8">
        <f>Table11232[[#This Row],[M (KN.mm)]]/(Table11232[[#This Row],[b (mm)]]*Table11232[[#This Row],[h (mm)]]*Table11232[[#This Row],[L(mm)]]*Table11232[[#This Row],[fc (Mpa)]])</f>
        <v>9.849121352785146E-6</v>
      </c>
      <c r="R66" s="8">
        <f>Table11232[[#This Row],[M (KN.mm)]]/(Table11232[[#This Row],[b (mm)]]*Table11232[[#This Row],[h (mm)]]*Table11232[[#This Row],[L(mm)]]/2)</f>
        <v>1.7137471153846155E-3</v>
      </c>
      <c r="S66" s="8">
        <f>Table11232[[#This Row],[M (KN.mm)]]/(Table11232[[#This Row],[a (mm)]]*Table11232[[#This Row],[b (mm)]]*Table11232[[#This Row],[h (mm)]]*Table11232[[#This Row],[L(mm)]]/2)</f>
        <v>1.5865384615384616E-6</v>
      </c>
      <c r="T66" s="8">
        <f>G66/($AN$5*AK66*0.001*Table11232[[#This Row],[pho (%)]])</f>
        <v>2.7826194952793099E-6</v>
      </c>
      <c r="U66" s="8">
        <f>Table11232[[#This Row],[M (KN.mm)]]/(Table11232[[#This Row],[b (mm)]]*Table11232[[#This Row],[d (mm)]]*Table11232[[#This Row],[pho (%)]])</f>
        <v>1.1072368421052632</v>
      </c>
      <c r="V66" s="8">
        <f>E66*224.8/(2*SQRT(Table11232[[#This Row],[fc (Mpa)]]*145.037)*Table11232[[#This Row],[b (mm)]]*Table11232[[#This Row],[d (mm)]]*(1/25.4)^2)</f>
        <v>1.5087384460808126</v>
      </c>
      <c r="W66" s="8">
        <f>Table11232[[#This Row],[M (KN.mm)]]/$G$68</f>
        <v>0.73333333333333339</v>
      </c>
      <c r="X66" s="8">
        <f>E66*224.8/(2*SQRT(Table11232[[#This Row],[fc (Mpa)]]*145.037)*Table11232[[#This Row],[b (mm)]]*Table11232[[#This Row],[d (mm)]]*(1/25.4)^2+Table11232[[#This Row],[Av fy d/s (N)]]*0.2248)</f>
        <v>0.95196064911291289</v>
      </c>
      <c r="Y66" s="15">
        <v>0.90600000000000003</v>
      </c>
      <c r="Z66" s="8">
        <f>Table11232[[#This Row],[Av fy/(b S) (Mpa)]]*Table11232[[#This Row],[d (mm)]]*Table11232[[#This Row],[b (mm)]]</f>
        <v>63963.6</v>
      </c>
      <c r="AA66" s="8">
        <f>Table11232[[#This Row],[d (mm)]]/260</f>
        <v>1.3576923076923078</v>
      </c>
      <c r="AB66" s="8">
        <f>Table11232[[#This Row],[a/d]]*Table11232[[#This Row],[d]]</f>
        <v>1080.18</v>
      </c>
      <c r="AC66" s="8">
        <f>Table11232[[#This Row],[d]]</f>
        <v>353</v>
      </c>
      <c r="AD66" s="8">
        <v>400</v>
      </c>
      <c r="AE66" s="5">
        <v>200</v>
      </c>
      <c r="AF66" s="1">
        <v>87</v>
      </c>
      <c r="AG66" s="8">
        <f>Table11232[[#This Row],[pho (%)]]/100*Table11232[[#This Row],[b (mm)]]*Table11232[[#This Row],[d (mm)]]</f>
        <v>1609.6799999999998</v>
      </c>
      <c r="AH66" s="1">
        <v>2.2799999999999998</v>
      </c>
      <c r="AI66" s="8">
        <v>500</v>
      </c>
      <c r="AJ66" s="8">
        <f>(1/3-0.21*(MIN(Table11232[[#This Row],[b (mm)]],AD66)/MAX(Table11232[[#This Row],[b (mm)]],AD66))*(MIN(Table11232[[#This Row],[b (mm)]],AD66)^4/(12*MAX(Table11232[[#This Row],[b (mm)]],AD66)^4)))*MAX(Table11232[[#This Row],[b (mm)]],AD66)*MIN(Table11232[[#This Row],[b (mm)]],AD66)^3</f>
        <v>1064916666.6666665</v>
      </c>
      <c r="AK66" s="8">
        <f>Table11232[[#This Row],[b (mm)]]*AD66^3/12</f>
        <v>1066666666.6666666</v>
      </c>
      <c r="AL66" s="8">
        <v>2600</v>
      </c>
      <c r="AM66" s="1"/>
      <c r="AN66" s="1"/>
    </row>
    <row r="67" spans="1:43" x14ac:dyDescent="0.25">
      <c r="A67" s="24" t="s">
        <v>143</v>
      </c>
      <c r="B67" s="15">
        <v>8</v>
      </c>
      <c r="C67" s="3">
        <v>66</v>
      </c>
      <c r="D67" s="15">
        <v>3.06</v>
      </c>
      <c r="E67" s="15">
        <v>175</v>
      </c>
      <c r="F67" s="15">
        <v>353</v>
      </c>
      <c r="G67" s="8">
        <f t="shared" si="32"/>
        <v>189031.5</v>
      </c>
      <c r="H67" s="8">
        <f t="shared" si="33"/>
        <v>6.7288798704026931E-6</v>
      </c>
      <c r="I67" s="8">
        <f>G67/(Table11232[[#This Row],[b (mm)]]*AC67^2)</f>
        <v>7.5849858356940511E-3</v>
      </c>
      <c r="J67" s="8">
        <f t="shared" si="34"/>
        <v>0.66534963471000452</v>
      </c>
      <c r="K67" s="8">
        <f t="shared" si="35"/>
        <v>5.2335066039376912E-6</v>
      </c>
      <c r="L67" s="8">
        <f>E67/(Table11232[[#This Row],[b (mm)]]*AC67)</f>
        <v>2.4787535410764872E-3</v>
      </c>
      <c r="M67" s="8">
        <f>Table11232[[#This Row],[M (KN.mm)]]/(Table11232[[#This Row],[b (mm)]]*Table11232[[#This Row],[d (mm)]])</f>
        <v>2.6775000000000002</v>
      </c>
      <c r="N67" s="8">
        <f>Table11232[[#This Row],[M (KN.mm)]]/(Table11232[[#This Row],[b (mm)]]*Table11232[[#This Row],[h (mm)]])</f>
        <v>2.36289375</v>
      </c>
      <c r="O67" s="8">
        <f>Table11232[[#This Row],[M (KN.mm)]]/(Table11232[[#This Row],[b (mm)]]*Table11232[[#This Row],[h (mm)]]*Table11232[[#This Row],[L(mm)]])</f>
        <v>9.0880528846153845E-4</v>
      </c>
      <c r="P67" s="8">
        <f>Table11232[[#This Row],[M (KN.mm)]]/(Table11232[[#This Row],[b (mm)]]*Table11232[[#This Row],[d (mm)]]*Table11232[[#This Row],[L(mm)]])</f>
        <v>1.0298076923076923E-3</v>
      </c>
      <c r="Q67" s="8">
        <f>Table11232[[#This Row],[M (KN.mm)]]/(Table11232[[#This Row],[b (mm)]]*Table11232[[#This Row],[h (mm)]]*Table11232[[#This Row],[L(mm)]]*Table11232[[#This Row],[fc (Mpa)]])</f>
        <v>1.0446037798408488E-5</v>
      </c>
      <c r="R67" s="8">
        <f>Table11232[[#This Row],[M (KN.mm)]]/(Table11232[[#This Row],[b (mm)]]*Table11232[[#This Row],[h (mm)]]*Table11232[[#This Row],[L(mm)]]/2)</f>
        <v>1.8176105769230769E-3</v>
      </c>
      <c r="S67" s="8">
        <f>Table11232[[#This Row],[M (KN.mm)]]/(Table11232[[#This Row],[a (mm)]]*Table11232[[#This Row],[b (mm)]]*Table11232[[#This Row],[h (mm)]]*Table11232[[#This Row],[L(mm)]]/2)</f>
        <v>1.6826923076923077E-6</v>
      </c>
      <c r="T67" s="8">
        <f>G67/($AN$5*AK67*0.001*Table11232[[#This Row],[pho (%)]])</f>
        <v>2.9512631010538132E-6</v>
      </c>
      <c r="U67" s="8">
        <f>Table11232[[#This Row],[M (KN.mm)]]/(Table11232[[#This Row],[b (mm)]]*Table11232[[#This Row],[d (mm)]]*Table11232[[#This Row],[pho (%)]])</f>
        <v>1.174342105263158</v>
      </c>
      <c r="V67" s="8">
        <f>E67*224.8/(2*SQRT(Table11232[[#This Row],[fc (Mpa)]]*145.037)*Table11232[[#This Row],[b (mm)]]*Table11232[[#This Row],[d (mm)]]*(1/25.4)^2)</f>
        <v>1.6001771397826801</v>
      </c>
      <c r="W67" s="8">
        <f>Table11232[[#This Row],[M (KN.mm)]]/$G$68</f>
        <v>0.77777777777777779</v>
      </c>
      <c r="X67" s="8">
        <f>E67*224.8/(2*SQRT(Table11232[[#This Row],[fc (Mpa)]]*145.037)*Table11232[[#This Row],[b (mm)]]*Table11232[[#This Row],[d (mm)]]*(1/25.4)^2+Table11232[[#This Row],[Av fy d/s (N)]]*0.2248)</f>
        <v>1.009655233907635</v>
      </c>
      <c r="Y67" s="15">
        <v>0.90600000000000003</v>
      </c>
      <c r="Z67" s="8">
        <f>Table11232[[#This Row],[Av fy/(b S) (Mpa)]]*Table11232[[#This Row],[d (mm)]]*Table11232[[#This Row],[b (mm)]]</f>
        <v>63963.6</v>
      </c>
      <c r="AA67" s="8">
        <f>Table11232[[#This Row],[d (mm)]]/260</f>
        <v>1.3576923076923078</v>
      </c>
      <c r="AB67" s="8">
        <f>Table11232[[#This Row],[a/d]]*Table11232[[#This Row],[d]]</f>
        <v>1080.18</v>
      </c>
      <c r="AC67" s="8">
        <f>Table11232[[#This Row],[d]]</f>
        <v>353</v>
      </c>
      <c r="AD67" s="8">
        <v>400</v>
      </c>
      <c r="AE67" s="5">
        <v>200</v>
      </c>
      <c r="AF67" s="1">
        <v>87</v>
      </c>
      <c r="AG67" s="8">
        <f>Table11232[[#This Row],[pho (%)]]/100*Table11232[[#This Row],[b (mm)]]*Table11232[[#This Row],[d (mm)]]</f>
        <v>1609.6799999999998</v>
      </c>
      <c r="AH67" s="1">
        <v>2.2799999999999998</v>
      </c>
      <c r="AI67" s="8">
        <v>500</v>
      </c>
      <c r="AJ67" s="8">
        <f>(1/3-0.21*(MIN(Table11232[[#This Row],[b (mm)]],AD67)/MAX(Table11232[[#This Row],[b (mm)]],AD67))*(MIN(Table11232[[#This Row],[b (mm)]],AD67)^4/(12*MAX(Table11232[[#This Row],[b (mm)]],AD67)^4)))*MAX(Table11232[[#This Row],[b (mm)]],AD67)*MIN(Table11232[[#This Row],[b (mm)]],AD67)^3</f>
        <v>1064916666.6666665</v>
      </c>
      <c r="AK67" s="8">
        <f>Table11232[[#This Row],[b (mm)]]*AD67^3/12</f>
        <v>1066666666.6666666</v>
      </c>
      <c r="AL67" s="8">
        <v>2600</v>
      </c>
      <c r="AM67" s="1"/>
      <c r="AN67" s="1"/>
    </row>
    <row r="68" spans="1:43" x14ac:dyDescent="0.25">
      <c r="A68" s="24" t="s">
        <v>143</v>
      </c>
      <c r="B68" s="15">
        <v>9</v>
      </c>
      <c r="C68" s="3">
        <v>67</v>
      </c>
      <c r="D68" s="15">
        <v>3.06</v>
      </c>
      <c r="E68" s="15">
        <v>225</v>
      </c>
      <c r="F68" s="15">
        <v>353</v>
      </c>
      <c r="G68" s="8">
        <f t="shared" ref="G68" si="36">E68*AB68</f>
        <v>243040.5</v>
      </c>
      <c r="H68" s="8">
        <f t="shared" ref="H68" si="37">G68/($AN$5*AK68*0.001)</f>
        <v>8.651416976232035E-6</v>
      </c>
      <c r="I68" s="8">
        <f>G68/(Table11232[[#This Row],[b (mm)]]*AC68^2)</f>
        <v>9.7521246458923509E-3</v>
      </c>
      <c r="J68" s="8">
        <f t="shared" ref="J68" si="38">G68/(AG68*AI68*AC68*0.001)</f>
        <v>0.85544953034143445</v>
      </c>
      <c r="K68" s="8">
        <f t="shared" ref="K68" si="39">E68/($AN$4*AJ68*0.001)</f>
        <v>6.7287942050627456E-6</v>
      </c>
      <c r="L68" s="8">
        <f>E68/(Table11232[[#This Row],[b (mm)]]*AC68)</f>
        <v>3.1869688385269121E-3</v>
      </c>
      <c r="M68" s="8">
        <f>Table11232[[#This Row],[M (KN.mm)]]/(Table11232[[#This Row],[b (mm)]]*Table11232[[#This Row],[d (mm)]])</f>
        <v>3.4424999999999999</v>
      </c>
      <c r="N68" s="8">
        <f>Table11232[[#This Row],[M (KN.mm)]]/(Table11232[[#This Row],[b (mm)]]*Table11232[[#This Row],[h (mm)]])</f>
        <v>3.03800625</v>
      </c>
      <c r="O68" s="8">
        <f>Table11232[[#This Row],[M (KN.mm)]]/(Table11232[[#This Row],[b (mm)]]*Table11232[[#This Row],[h (mm)]]*Table11232[[#This Row],[L(mm)]])</f>
        <v>1.1684639423076924E-3</v>
      </c>
      <c r="P68" s="8">
        <f>Table11232[[#This Row],[M (KN.mm)]]/(Table11232[[#This Row],[b (mm)]]*Table11232[[#This Row],[d (mm)]]*Table11232[[#This Row],[L(mm)]])</f>
        <v>1.3240384615384616E-3</v>
      </c>
      <c r="Q68" s="8">
        <f>Table11232[[#This Row],[M (KN.mm)]]/(Table11232[[#This Row],[b (mm)]]*Table11232[[#This Row],[h (mm)]]*Table11232[[#This Row],[L(mm)]]*Table11232[[#This Row],[fc (Mpa)]])</f>
        <v>1.3430620026525199E-5</v>
      </c>
      <c r="R68" s="8">
        <f>Table11232[[#This Row],[M (KN.mm)]]/(Table11232[[#This Row],[b (mm)]]*Table11232[[#This Row],[h (mm)]]*Table11232[[#This Row],[L(mm)]]/2)</f>
        <v>2.3369278846153848E-3</v>
      </c>
      <c r="S68" s="8">
        <f>Table11232[[#This Row],[M (KN.mm)]]/(Table11232[[#This Row],[a (mm)]]*Table11232[[#This Row],[b (mm)]]*Table11232[[#This Row],[h (mm)]]*Table11232[[#This Row],[L(mm)]]/2)</f>
        <v>2.1634615384615387E-6</v>
      </c>
      <c r="T68" s="8">
        <f>G68/($AN$5*AK68*0.001*Table11232[[#This Row],[pho (%)]])</f>
        <v>3.7944811299263312E-6</v>
      </c>
      <c r="U68" s="8">
        <f>Table11232[[#This Row],[M (KN.mm)]]/(Table11232[[#This Row],[b (mm)]]*Table11232[[#This Row],[d (mm)]]*Table11232[[#This Row],[pho (%)]])</f>
        <v>1.5098684210526316</v>
      </c>
      <c r="V68" s="8">
        <f>E68*224.8/(2*SQRT(Table11232[[#This Row],[fc (Mpa)]]*145.037)*Table11232[[#This Row],[b (mm)]]*Table11232[[#This Row],[d (mm)]]*(1/25.4)^2)</f>
        <v>2.0573706082920173</v>
      </c>
      <c r="W68" s="8">
        <f>Table11232[[#This Row],[M (KN.mm)]]/$G$68</f>
        <v>1</v>
      </c>
      <c r="X68" s="8">
        <f>E68*224.8/(2*SQRT(Table11232[[#This Row],[fc (Mpa)]]*145.037)*Table11232[[#This Row],[b (mm)]]*Table11232[[#This Row],[d (mm)]]*(1/25.4)^2+Table11232[[#This Row],[Av fy d/s (N)]]*0.2248)</f>
        <v>1.2981281578812449</v>
      </c>
      <c r="Y68" s="15">
        <v>0.90600000000000003</v>
      </c>
      <c r="Z68" s="8">
        <f>Table11232[[#This Row],[Av fy/(b S) (Mpa)]]*Table11232[[#This Row],[d (mm)]]*Table11232[[#This Row],[b (mm)]]</f>
        <v>63963.6</v>
      </c>
      <c r="AA68" s="8">
        <f>Table11232[[#This Row],[d (mm)]]/260</f>
        <v>1.3576923076923078</v>
      </c>
      <c r="AB68" s="8">
        <f>Table11232[[#This Row],[a/d]]*Table11232[[#This Row],[d]]</f>
        <v>1080.18</v>
      </c>
      <c r="AC68" s="8">
        <f>Table11232[[#This Row],[d]]</f>
        <v>353</v>
      </c>
      <c r="AD68" s="8">
        <v>400</v>
      </c>
      <c r="AE68" s="5">
        <v>200</v>
      </c>
      <c r="AF68" s="1">
        <v>87</v>
      </c>
      <c r="AG68" s="8">
        <f>Table11232[[#This Row],[pho (%)]]/100*Table11232[[#This Row],[b (mm)]]*Table11232[[#This Row],[d (mm)]]</f>
        <v>1609.6799999999998</v>
      </c>
      <c r="AH68" s="1">
        <v>2.2799999999999998</v>
      </c>
      <c r="AI68" s="8">
        <v>500</v>
      </c>
      <c r="AJ68" s="8">
        <f>(1/3-0.21*(MIN(Table11232[[#This Row],[b (mm)]],AD68)/MAX(Table11232[[#This Row],[b (mm)]],AD68))*(MIN(Table11232[[#This Row],[b (mm)]],AD68)^4/(12*MAX(Table11232[[#This Row],[b (mm)]],AD68)^4)))*MAX(Table11232[[#This Row],[b (mm)]],AD68)*MIN(Table11232[[#This Row],[b (mm)]],AD68)^3</f>
        <v>1064916666.6666665</v>
      </c>
      <c r="AK68" s="8">
        <f>Table11232[[#This Row],[b (mm)]]*AD68^3/12</f>
        <v>1066666666.6666666</v>
      </c>
      <c r="AL68" s="8">
        <v>2600</v>
      </c>
      <c r="AM68" s="1"/>
      <c r="AN68" s="1"/>
    </row>
    <row r="69" spans="1:43" x14ac:dyDescent="0.25">
      <c r="A69" s="34" t="s">
        <v>144</v>
      </c>
      <c r="B69" s="15">
        <v>1</v>
      </c>
      <c r="C69" s="3">
        <v>68</v>
      </c>
      <c r="D69" s="15">
        <v>3.08</v>
      </c>
      <c r="E69" s="15">
        <v>42</v>
      </c>
      <c r="F69" s="15">
        <v>351</v>
      </c>
      <c r="G69" s="8">
        <f t="shared" ref="G69:G76" si="40">E69*AB69</f>
        <v>45405.36</v>
      </c>
      <c r="H69" s="8">
        <f t="shared" ref="H69:H76" si="41">G69/($AN$5*AK69*0.001)</f>
        <v>1.6162767206121079E-6</v>
      </c>
      <c r="I69" s="8">
        <f>G69/(Table11232[[#This Row],[b (mm)]]*AC69^2)</f>
        <v>1.8427350427350428E-3</v>
      </c>
      <c r="J69" s="8">
        <f t="shared" ref="J69:J76" si="42">G69/(AG69*AI69*AC69*0.001)</f>
        <v>0.160937558317471</v>
      </c>
      <c r="K69" s="8">
        <f t="shared" ref="K69:K76" si="43">E69/($AN$4*AJ69*0.001)</f>
        <v>1.2560415849450459E-6</v>
      </c>
      <c r="L69" s="8">
        <f>E69/(Table11232[[#This Row],[b (mm)]]*AC69)</f>
        <v>5.9829059829059829E-4</v>
      </c>
      <c r="M69" s="8">
        <f>Table11232[[#This Row],[M (KN.mm)]]/(Table11232[[#This Row],[b (mm)]]*Table11232[[#This Row],[d (mm)]])</f>
        <v>0.64680000000000004</v>
      </c>
      <c r="N69" s="8">
        <f>Table11232[[#This Row],[M (KN.mm)]]/(Table11232[[#This Row],[b (mm)]]*Table11232[[#This Row],[h (mm)]])</f>
        <v>0.56756700000000004</v>
      </c>
      <c r="O69" s="8">
        <f>Table11232[[#This Row],[M (KN.mm)]]/(Table11232[[#This Row],[b (mm)]]*Table11232[[#This Row],[h (mm)]]*Table11232[[#This Row],[L(mm)]])</f>
        <v>2.18295E-4</v>
      </c>
      <c r="P69" s="8">
        <f>Table11232[[#This Row],[M (KN.mm)]]/(Table11232[[#This Row],[b (mm)]]*Table11232[[#This Row],[d (mm)]]*Table11232[[#This Row],[L(mm)]])</f>
        <v>2.4876923076923079E-4</v>
      </c>
      <c r="Q69" s="8">
        <f>Table11232[[#This Row],[M (KN.mm)]]/(Table11232[[#This Row],[b (mm)]]*Table11232[[#This Row],[h (mm)]]*Table11232[[#This Row],[L(mm)]]*Table11232[[#This Row],[fc (Mpa)]])</f>
        <v>2.5091379310344826E-6</v>
      </c>
      <c r="R69" s="8">
        <f>Table11232[[#This Row],[M (KN.mm)]]/(Table11232[[#This Row],[b (mm)]]*Table11232[[#This Row],[h (mm)]]*Table11232[[#This Row],[L(mm)]]/2)</f>
        <v>4.3658999999999999E-4</v>
      </c>
      <c r="S69" s="8">
        <f>Table11232[[#This Row],[M (KN.mm)]]/(Table11232[[#This Row],[a (mm)]]*Table11232[[#This Row],[b (mm)]]*Table11232[[#This Row],[h (mm)]]*Table11232[[#This Row],[L(mm)]]/2)</f>
        <v>4.0384615384615386E-7</v>
      </c>
      <c r="T69" s="8">
        <f>G69/($AN$5*AK69*0.001*Table11232[[#This Row],[pho (%)]])</f>
        <v>7.0579769459044007E-7</v>
      </c>
      <c r="U69" s="8">
        <f>Table11232[[#This Row],[M (KN.mm)]]/(Table11232[[#This Row],[b (mm)]]*Table11232[[#This Row],[d (mm)]]*Table11232[[#This Row],[pho (%)]])</f>
        <v>0.28244541484716157</v>
      </c>
      <c r="V69" s="8">
        <f>E69*224.8/(2*SQRT(Table11232[[#This Row],[fc (Mpa)]]*145.037)*Table11232[[#This Row],[b (mm)]]*Table11232[[#This Row],[d (mm)]]*(1/25.4)^2)</f>
        <v>0.38623078997831528</v>
      </c>
      <c r="W69" s="8">
        <f>Table11232[[#This Row],[M (KN.mm)]]/$G$76</f>
        <v>0.16561514195583599</v>
      </c>
      <c r="X69" s="8">
        <f>E69*224.8/(2*SQRT(Table11232[[#This Row],[fc (Mpa)]]*145.037)*Table11232[[#This Row],[b (mm)]]*Table11232[[#This Row],[d (mm)]]*(1/25.4)^2+Table11232[[#This Row],[Av fy d/s (N)]]*0.2248)</f>
        <v>0.21066203452543592</v>
      </c>
      <c r="Y69" s="15">
        <v>1.2909999999999999</v>
      </c>
      <c r="Z69" s="8">
        <f>Table11232[[#This Row],[Av fy/(b S) (Mpa)]]*Table11232[[#This Row],[d (mm)]]*Table11232[[#This Row],[b (mm)]]</f>
        <v>90628.2</v>
      </c>
      <c r="AA69" s="8">
        <f>Table11232[[#This Row],[d (mm)]]/260</f>
        <v>1.35</v>
      </c>
      <c r="AB69" s="8">
        <f>Table11232[[#This Row],[a/d]]*Table11232[[#This Row],[d]]</f>
        <v>1081.08</v>
      </c>
      <c r="AC69" s="8">
        <f>Table11232[[#This Row],[d]]</f>
        <v>351</v>
      </c>
      <c r="AD69" s="8">
        <v>400</v>
      </c>
      <c r="AE69" s="5">
        <v>200</v>
      </c>
      <c r="AF69" s="1">
        <v>87</v>
      </c>
      <c r="AG69" s="8">
        <f>Table11232[[#This Row],[pho (%)]]/100*Table11232[[#This Row],[b (mm)]]*Table11232[[#This Row],[d (mm)]]</f>
        <v>1607.58</v>
      </c>
      <c r="AH69" s="1">
        <v>2.29</v>
      </c>
      <c r="AI69" s="8">
        <v>500</v>
      </c>
      <c r="AJ69" s="8">
        <f>(1/3-0.21*(MIN(Table11232[[#This Row],[b (mm)]],AD69)/MAX(Table11232[[#This Row],[b (mm)]],AD69))*(MIN(Table11232[[#This Row],[b (mm)]],AD69)^4/(12*MAX(Table11232[[#This Row],[b (mm)]],AD69)^4)))*MAX(Table11232[[#This Row],[b (mm)]],AD69)*MIN(Table11232[[#This Row],[b (mm)]],AD69)^3</f>
        <v>1064916666.6666665</v>
      </c>
      <c r="AK69" s="8">
        <f>Table11232[[#This Row],[b (mm)]]*AD69^3/12</f>
        <v>1066666666.6666666</v>
      </c>
      <c r="AL69" s="8">
        <v>2600</v>
      </c>
      <c r="AM69" s="1"/>
      <c r="AN69" s="1"/>
    </row>
    <row r="70" spans="1:43" x14ac:dyDescent="0.25">
      <c r="A70" s="34" t="s">
        <v>144</v>
      </c>
      <c r="B70" s="15">
        <v>2</v>
      </c>
      <c r="C70" s="3">
        <v>69</v>
      </c>
      <c r="D70" s="15">
        <v>3.08</v>
      </c>
      <c r="E70" s="15">
        <v>60</v>
      </c>
      <c r="F70" s="15">
        <v>351</v>
      </c>
      <c r="G70" s="8">
        <f t="shared" si="40"/>
        <v>64864.799999999996</v>
      </c>
      <c r="H70" s="8">
        <f t="shared" si="41"/>
        <v>2.3089667437315824E-6</v>
      </c>
      <c r="I70" s="8">
        <f>G70/(Table11232[[#This Row],[b (mm)]]*AC70^2)</f>
        <v>2.6324786324786321E-3</v>
      </c>
      <c r="J70" s="8">
        <f t="shared" si="42"/>
        <v>0.22991079759638711</v>
      </c>
      <c r="K70" s="8">
        <f t="shared" si="43"/>
        <v>1.7943451213500656E-6</v>
      </c>
      <c r="L70" s="8">
        <f>E70/(Table11232[[#This Row],[b (mm)]]*AC70)</f>
        <v>8.547008547008547E-4</v>
      </c>
      <c r="M70" s="8">
        <f>Table11232[[#This Row],[M (KN.mm)]]/(Table11232[[#This Row],[b (mm)]]*Table11232[[#This Row],[d (mm)]])</f>
        <v>0.92399999999999993</v>
      </c>
      <c r="N70" s="8">
        <f>Table11232[[#This Row],[M (KN.mm)]]/(Table11232[[#This Row],[b (mm)]]*Table11232[[#This Row],[h (mm)]])</f>
        <v>0.81080999999999992</v>
      </c>
      <c r="O70" s="8">
        <f>Table11232[[#This Row],[M (KN.mm)]]/(Table11232[[#This Row],[b (mm)]]*Table11232[[#This Row],[h (mm)]]*Table11232[[#This Row],[L(mm)]])</f>
        <v>3.1184999999999996E-4</v>
      </c>
      <c r="P70" s="8">
        <f>Table11232[[#This Row],[M (KN.mm)]]/(Table11232[[#This Row],[b (mm)]]*Table11232[[#This Row],[d (mm)]]*Table11232[[#This Row],[L(mm)]])</f>
        <v>3.5538461538461537E-4</v>
      </c>
      <c r="Q70" s="8">
        <f>Table11232[[#This Row],[M (KN.mm)]]/(Table11232[[#This Row],[b (mm)]]*Table11232[[#This Row],[h (mm)]]*Table11232[[#This Row],[L(mm)]]*Table11232[[#This Row],[fc (Mpa)]])</f>
        <v>3.5844827586206893E-6</v>
      </c>
      <c r="R70" s="8">
        <f>Table11232[[#This Row],[M (KN.mm)]]/(Table11232[[#This Row],[b (mm)]]*Table11232[[#This Row],[h (mm)]]*Table11232[[#This Row],[L(mm)]]/2)</f>
        <v>6.2369999999999993E-4</v>
      </c>
      <c r="S70" s="8">
        <f>Table11232[[#This Row],[M (KN.mm)]]/(Table11232[[#This Row],[a (mm)]]*Table11232[[#This Row],[b (mm)]]*Table11232[[#This Row],[h (mm)]]*Table11232[[#This Row],[L(mm)]]/2)</f>
        <v>5.7692307692307691E-7</v>
      </c>
      <c r="T70" s="8">
        <f>G70/($AN$5*AK70*0.001*Table11232[[#This Row],[pho (%)]])</f>
        <v>1.0082824208434857E-6</v>
      </c>
      <c r="U70" s="8">
        <f>Table11232[[#This Row],[M (KN.mm)]]/(Table11232[[#This Row],[b (mm)]]*Table11232[[#This Row],[d (mm)]]*Table11232[[#This Row],[pho (%)]])</f>
        <v>0.40349344978165935</v>
      </c>
      <c r="V70" s="8">
        <f>E70*224.8/(2*SQRT(Table11232[[#This Row],[fc (Mpa)]]*145.037)*Table11232[[#This Row],[b (mm)]]*Table11232[[#This Row],[d (mm)]]*(1/25.4)^2)</f>
        <v>0.55175827139759326</v>
      </c>
      <c r="W70" s="8">
        <f>Table11232[[#This Row],[M (KN.mm)]]/$G$76</f>
        <v>0.23659305993690852</v>
      </c>
      <c r="X70" s="8">
        <f>E70*224.8/(2*SQRT(Table11232[[#This Row],[fc (Mpa)]]*145.037)*Table11232[[#This Row],[b (mm)]]*Table11232[[#This Row],[d (mm)]]*(1/25.4)^2+Table11232[[#This Row],[Av fy d/s (N)]]*0.2248)</f>
        <v>0.30094576360776559</v>
      </c>
      <c r="Y70" s="15">
        <v>1.2909999999999999</v>
      </c>
      <c r="Z70" s="8">
        <f>Table11232[[#This Row],[Av fy/(b S) (Mpa)]]*Table11232[[#This Row],[d (mm)]]*Table11232[[#This Row],[b (mm)]]</f>
        <v>90628.2</v>
      </c>
      <c r="AA70" s="8">
        <f>Table11232[[#This Row],[d (mm)]]/260</f>
        <v>1.35</v>
      </c>
      <c r="AB70" s="8">
        <f>Table11232[[#This Row],[a/d]]*Table11232[[#This Row],[d]]</f>
        <v>1081.08</v>
      </c>
      <c r="AC70" s="8">
        <f>Table11232[[#This Row],[d]]</f>
        <v>351</v>
      </c>
      <c r="AD70" s="8">
        <v>400</v>
      </c>
      <c r="AE70" s="5">
        <v>200</v>
      </c>
      <c r="AF70" s="1">
        <v>87</v>
      </c>
      <c r="AG70" s="8">
        <f>Table11232[[#This Row],[pho (%)]]/100*Table11232[[#This Row],[b (mm)]]*Table11232[[#This Row],[d (mm)]]</f>
        <v>1607.58</v>
      </c>
      <c r="AH70" s="1">
        <v>2.29</v>
      </c>
      <c r="AI70" s="8">
        <v>500</v>
      </c>
      <c r="AJ70" s="8">
        <f>(1/3-0.21*(MIN(Table11232[[#This Row],[b (mm)]],AD70)/MAX(Table11232[[#This Row],[b (mm)]],AD70))*(MIN(Table11232[[#This Row],[b (mm)]],AD70)^4/(12*MAX(Table11232[[#This Row],[b (mm)]],AD70)^4)))*MAX(Table11232[[#This Row],[b (mm)]],AD70)*MIN(Table11232[[#This Row],[b (mm)]],AD70)^3</f>
        <v>1064916666.6666665</v>
      </c>
      <c r="AK70" s="8">
        <f>Table11232[[#This Row],[b (mm)]]*AD70^3/12</f>
        <v>1066666666.6666666</v>
      </c>
      <c r="AL70" s="8">
        <v>2600</v>
      </c>
      <c r="AM70" s="1"/>
      <c r="AN70" s="1"/>
    </row>
    <row r="71" spans="1:43" x14ac:dyDescent="0.25">
      <c r="A71" s="34" t="s">
        <v>144</v>
      </c>
      <c r="B71" s="15">
        <v>3</v>
      </c>
      <c r="C71" s="3">
        <v>70</v>
      </c>
      <c r="D71" s="15">
        <v>3.08</v>
      </c>
      <c r="E71" s="15">
        <v>85</v>
      </c>
      <c r="F71" s="15">
        <v>351</v>
      </c>
      <c r="G71" s="8">
        <f t="shared" si="40"/>
        <v>91891.799999999988</v>
      </c>
      <c r="H71" s="8">
        <f t="shared" si="41"/>
        <v>3.2710362202864083E-6</v>
      </c>
      <c r="I71" s="8">
        <f>G71/(Table11232[[#This Row],[b (mm)]]*AC71^2)</f>
        <v>3.729344729344729E-3</v>
      </c>
      <c r="J71" s="8">
        <f t="shared" si="42"/>
        <v>0.32570696326154841</v>
      </c>
      <c r="K71" s="8">
        <f t="shared" si="43"/>
        <v>2.5419889219125928E-6</v>
      </c>
      <c r="L71" s="8">
        <f>E71/(Table11232[[#This Row],[b (mm)]]*AC71)</f>
        <v>1.2108262108262108E-3</v>
      </c>
      <c r="M71" s="8">
        <f>Table11232[[#This Row],[M (KN.mm)]]/(Table11232[[#This Row],[b (mm)]]*Table11232[[#This Row],[d (mm)]])</f>
        <v>1.3089999999999999</v>
      </c>
      <c r="N71" s="8">
        <f>Table11232[[#This Row],[M (KN.mm)]]/(Table11232[[#This Row],[b (mm)]]*Table11232[[#This Row],[h (mm)]])</f>
        <v>1.1486474999999998</v>
      </c>
      <c r="O71" s="8">
        <f>Table11232[[#This Row],[M (KN.mm)]]/(Table11232[[#This Row],[b (mm)]]*Table11232[[#This Row],[h (mm)]]*Table11232[[#This Row],[L(mm)]])</f>
        <v>4.4178749999999997E-4</v>
      </c>
      <c r="P71" s="8">
        <f>Table11232[[#This Row],[M (KN.mm)]]/(Table11232[[#This Row],[b (mm)]]*Table11232[[#This Row],[d (mm)]]*Table11232[[#This Row],[L(mm)]])</f>
        <v>5.0346153846153835E-4</v>
      </c>
      <c r="Q71" s="8">
        <f>Table11232[[#This Row],[M (KN.mm)]]/(Table11232[[#This Row],[b (mm)]]*Table11232[[#This Row],[h (mm)]]*Table11232[[#This Row],[L(mm)]]*Table11232[[#This Row],[fc (Mpa)]])</f>
        <v>5.0780172413793095E-6</v>
      </c>
      <c r="R71" s="8">
        <f>Table11232[[#This Row],[M (KN.mm)]]/(Table11232[[#This Row],[b (mm)]]*Table11232[[#This Row],[h (mm)]]*Table11232[[#This Row],[L(mm)]]/2)</f>
        <v>8.8357499999999994E-4</v>
      </c>
      <c r="S71" s="8">
        <f>Table11232[[#This Row],[M (KN.mm)]]/(Table11232[[#This Row],[a (mm)]]*Table11232[[#This Row],[b (mm)]]*Table11232[[#This Row],[h (mm)]]*Table11232[[#This Row],[L(mm)]]/2)</f>
        <v>8.1730769230769218E-7</v>
      </c>
      <c r="T71" s="8">
        <f>G71/($AN$5*AK71*0.001*Table11232[[#This Row],[pho (%)]])</f>
        <v>1.4284000961949382E-6</v>
      </c>
      <c r="U71" s="8">
        <f>Table11232[[#This Row],[M (KN.mm)]]/(Table11232[[#This Row],[b (mm)]]*Table11232[[#This Row],[d (mm)]]*Table11232[[#This Row],[pho (%)]])</f>
        <v>0.57161572052401743</v>
      </c>
      <c r="V71" s="8">
        <f>E71*224.8/(2*SQRT(Table11232[[#This Row],[fc (Mpa)]]*145.037)*Table11232[[#This Row],[b (mm)]]*Table11232[[#This Row],[d (mm)]]*(1/25.4)^2)</f>
        <v>0.78165755114659041</v>
      </c>
      <c r="W71" s="8">
        <f>Table11232[[#This Row],[M (KN.mm)]]/$G$76</f>
        <v>0.33517350157728704</v>
      </c>
      <c r="X71" s="8">
        <f>E71*224.8/(2*SQRT(Table11232[[#This Row],[fc (Mpa)]]*145.037)*Table11232[[#This Row],[b (mm)]]*Table11232[[#This Row],[d (mm)]]*(1/25.4)^2+Table11232[[#This Row],[Av fy d/s (N)]]*0.2248)</f>
        <v>0.42633983177766793</v>
      </c>
      <c r="Y71" s="15">
        <v>1.2909999999999999</v>
      </c>
      <c r="Z71" s="8">
        <f>Table11232[[#This Row],[Av fy/(b S) (Mpa)]]*Table11232[[#This Row],[d (mm)]]*Table11232[[#This Row],[b (mm)]]</f>
        <v>90628.2</v>
      </c>
      <c r="AA71" s="8">
        <f>Table11232[[#This Row],[d (mm)]]/260</f>
        <v>1.35</v>
      </c>
      <c r="AB71" s="8">
        <f>Table11232[[#This Row],[a/d]]*Table11232[[#This Row],[d]]</f>
        <v>1081.08</v>
      </c>
      <c r="AC71" s="8">
        <f>Table11232[[#This Row],[d]]</f>
        <v>351</v>
      </c>
      <c r="AD71" s="8">
        <v>400</v>
      </c>
      <c r="AE71" s="5">
        <v>200</v>
      </c>
      <c r="AF71" s="1">
        <v>87</v>
      </c>
      <c r="AG71" s="8">
        <f>Table11232[[#This Row],[pho (%)]]/100*Table11232[[#This Row],[b (mm)]]*Table11232[[#This Row],[d (mm)]]</f>
        <v>1607.58</v>
      </c>
      <c r="AH71" s="1">
        <v>2.29</v>
      </c>
      <c r="AI71" s="8">
        <v>500</v>
      </c>
      <c r="AJ71" s="8">
        <f>(1/3-0.21*(MIN(Table11232[[#This Row],[b (mm)]],AD71)/MAX(Table11232[[#This Row],[b (mm)]],AD71))*(MIN(Table11232[[#This Row],[b (mm)]],AD71)^4/(12*MAX(Table11232[[#This Row],[b (mm)]],AD71)^4)))*MAX(Table11232[[#This Row],[b (mm)]],AD71)*MIN(Table11232[[#This Row],[b (mm)]],AD71)^3</f>
        <v>1064916666.6666665</v>
      </c>
      <c r="AK71" s="8">
        <f>Table11232[[#This Row],[b (mm)]]*AD71^3/12</f>
        <v>1066666666.6666666</v>
      </c>
      <c r="AL71" s="8">
        <v>2600</v>
      </c>
      <c r="AM71" s="14"/>
      <c r="AN71" s="22"/>
      <c r="AO71" s="13"/>
      <c r="AP71" s="13"/>
    </row>
    <row r="72" spans="1:43" x14ac:dyDescent="0.25">
      <c r="A72" s="34" t="s">
        <v>144</v>
      </c>
      <c r="B72" s="15">
        <v>4</v>
      </c>
      <c r="C72" s="3">
        <v>71</v>
      </c>
      <c r="D72" s="15">
        <v>3.08</v>
      </c>
      <c r="E72" s="15">
        <v>110</v>
      </c>
      <c r="F72" s="15">
        <v>351</v>
      </c>
      <c r="G72" s="8">
        <f t="shared" si="40"/>
        <v>118918.79999999999</v>
      </c>
      <c r="H72" s="8">
        <f t="shared" si="41"/>
        <v>4.2331056968412338E-6</v>
      </c>
      <c r="I72" s="8">
        <f>G72/(Table11232[[#This Row],[b (mm)]]*AC72^2)</f>
        <v>4.8262108262108255E-3</v>
      </c>
      <c r="J72" s="8">
        <f t="shared" si="42"/>
        <v>0.42150312892670971</v>
      </c>
      <c r="K72" s="8">
        <f t="shared" si="43"/>
        <v>3.28963272247512E-6</v>
      </c>
      <c r="L72" s="8">
        <f>E72/(Table11232[[#This Row],[b (mm)]]*AC72)</f>
        <v>1.5669515669515669E-3</v>
      </c>
      <c r="M72" s="8">
        <f>Table11232[[#This Row],[M (KN.mm)]]/(Table11232[[#This Row],[b (mm)]]*Table11232[[#This Row],[d (mm)]])</f>
        <v>1.6939999999999997</v>
      </c>
      <c r="N72" s="8">
        <f>Table11232[[#This Row],[M (KN.mm)]]/(Table11232[[#This Row],[b (mm)]]*Table11232[[#This Row],[h (mm)]])</f>
        <v>1.4864849999999998</v>
      </c>
      <c r="O72" s="8">
        <f>Table11232[[#This Row],[M (KN.mm)]]/(Table11232[[#This Row],[b (mm)]]*Table11232[[#This Row],[h (mm)]]*Table11232[[#This Row],[L(mm)]])</f>
        <v>5.7172499999999992E-4</v>
      </c>
      <c r="P72" s="8">
        <f>Table11232[[#This Row],[M (KN.mm)]]/(Table11232[[#This Row],[b (mm)]]*Table11232[[#This Row],[d (mm)]]*Table11232[[#This Row],[L(mm)]])</f>
        <v>6.5153846153846143E-4</v>
      </c>
      <c r="Q72" s="8">
        <f>Table11232[[#This Row],[M (KN.mm)]]/(Table11232[[#This Row],[b (mm)]]*Table11232[[#This Row],[h (mm)]]*Table11232[[#This Row],[L(mm)]]*Table11232[[#This Row],[fc (Mpa)]])</f>
        <v>6.5715517241379305E-6</v>
      </c>
      <c r="R72" s="8">
        <f>Table11232[[#This Row],[M (KN.mm)]]/(Table11232[[#This Row],[b (mm)]]*Table11232[[#This Row],[h (mm)]]*Table11232[[#This Row],[L(mm)]]/2)</f>
        <v>1.1434499999999998E-3</v>
      </c>
      <c r="S72" s="8">
        <f>Table11232[[#This Row],[M (KN.mm)]]/(Table11232[[#This Row],[a (mm)]]*Table11232[[#This Row],[b (mm)]]*Table11232[[#This Row],[h (mm)]]*Table11232[[#This Row],[L(mm)]]/2)</f>
        <v>1.0576923076923076E-6</v>
      </c>
      <c r="T72" s="8">
        <f>G72/($AN$5*AK72*0.001*Table11232[[#This Row],[pho (%)]])</f>
        <v>1.8485177715463906E-6</v>
      </c>
      <c r="U72" s="8">
        <f>Table11232[[#This Row],[M (KN.mm)]]/(Table11232[[#This Row],[b (mm)]]*Table11232[[#This Row],[d (mm)]]*Table11232[[#This Row],[pho (%)]])</f>
        <v>0.73973799126637552</v>
      </c>
      <c r="V72" s="8">
        <f>E72*224.8/(2*SQRT(Table11232[[#This Row],[fc (Mpa)]]*145.037)*Table11232[[#This Row],[b (mm)]]*Table11232[[#This Row],[d (mm)]]*(1/25.4)^2)</f>
        <v>1.0115568308955876</v>
      </c>
      <c r="W72" s="8">
        <f>Table11232[[#This Row],[M (KN.mm)]]/$G$76</f>
        <v>0.43375394321766558</v>
      </c>
      <c r="X72" s="8">
        <f>E72*224.8/(2*SQRT(Table11232[[#This Row],[fc (Mpa)]]*145.037)*Table11232[[#This Row],[b (mm)]]*Table11232[[#This Row],[d (mm)]]*(1/25.4)^2+Table11232[[#This Row],[Av fy d/s (N)]]*0.2248)</f>
        <v>0.55173389994757027</v>
      </c>
      <c r="Y72" s="15">
        <v>1.2909999999999999</v>
      </c>
      <c r="Z72" s="8">
        <f>Table11232[[#This Row],[Av fy/(b S) (Mpa)]]*Table11232[[#This Row],[d (mm)]]*Table11232[[#This Row],[b (mm)]]</f>
        <v>90628.2</v>
      </c>
      <c r="AA72" s="8">
        <f>Table11232[[#This Row],[d (mm)]]/260</f>
        <v>1.35</v>
      </c>
      <c r="AB72" s="8">
        <f>Table11232[[#This Row],[a/d]]*Table11232[[#This Row],[d]]</f>
        <v>1081.08</v>
      </c>
      <c r="AC72" s="8">
        <f>Table11232[[#This Row],[d]]</f>
        <v>351</v>
      </c>
      <c r="AD72" s="8">
        <v>400</v>
      </c>
      <c r="AE72" s="5">
        <v>200</v>
      </c>
      <c r="AF72" s="1">
        <v>87</v>
      </c>
      <c r="AG72" s="8">
        <f>Table11232[[#This Row],[pho (%)]]/100*Table11232[[#This Row],[b (mm)]]*Table11232[[#This Row],[d (mm)]]</f>
        <v>1607.58</v>
      </c>
      <c r="AH72" s="1">
        <v>2.29</v>
      </c>
      <c r="AI72" s="8">
        <v>500</v>
      </c>
      <c r="AJ72" s="8">
        <f>(1/3-0.21*(MIN(Table11232[[#This Row],[b (mm)]],AD72)/MAX(Table11232[[#This Row],[b (mm)]],AD72))*(MIN(Table11232[[#This Row],[b (mm)]],AD72)^4/(12*MAX(Table11232[[#This Row],[b (mm)]],AD72)^4)))*MAX(Table11232[[#This Row],[b (mm)]],AD72)*MIN(Table11232[[#This Row],[b (mm)]],AD72)^3</f>
        <v>1064916666.6666665</v>
      </c>
      <c r="AK72" s="8">
        <f>Table11232[[#This Row],[b (mm)]]*AD72^3/12</f>
        <v>1066666666.6666666</v>
      </c>
      <c r="AL72" s="8">
        <v>2600</v>
      </c>
      <c r="AM72" s="14"/>
      <c r="AN72" s="22"/>
      <c r="AO72" s="13"/>
      <c r="AP72" s="13"/>
    </row>
    <row r="73" spans="1:43" x14ac:dyDescent="0.25">
      <c r="A73" s="34" t="s">
        <v>144</v>
      </c>
      <c r="B73" s="15">
        <v>5</v>
      </c>
      <c r="C73" s="3">
        <v>72</v>
      </c>
      <c r="D73" s="15">
        <v>3.08</v>
      </c>
      <c r="E73" s="15">
        <v>130</v>
      </c>
      <c r="F73" s="15">
        <v>351</v>
      </c>
      <c r="G73" s="8">
        <f t="shared" si="40"/>
        <v>140540.4</v>
      </c>
      <c r="H73" s="8">
        <f t="shared" si="41"/>
        <v>5.0027612780850956E-6</v>
      </c>
      <c r="I73" s="8">
        <f>G73/(Table11232[[#This Row],[b (mm)]]*AC73^2)</f>
        <v>5.7037037037037039E-3</v>
      </c>
      <c r="J73" s="8">
        <f t="shared" si="42"/>
        <v>0.49814006145883877</v>
      </c>
      <c r="K73" s="8">
        <f t="shared" si="43"/>
        <v>3.8877477629251424E-6</v>
      </c>
      <c r="L73" s="8">
        <f>E73/(Table11232[[#This Row],[b (mm)]]*AC73)</f>
        <v>1.8518518518518519E-3</v>
      </c>
      <c r="M73" s="8">
        <f>Table11232[[#This Row],[M (KN.mm)]]/(Table11232[[#This Row],[b (mm)]]*Table11232[[#This Row],[d (mm)]])</f>
        <v>2.0019999999999998</v>
      </c>
      <c r="N73" s="8">
        <f>Table11232[[#This Row],[M (KN.mm)]]/(Table11232[[#This Row],[b (mm)]]*Table11232[[#This Row],[h (mm)]])</f>
        <v>1.7567549999999998</v>
      </c>
      <c r="O73" s="8">
        <f>Table11232[[#This Row],[M (KN.mm)]]/(Table11232[[#This Row],[b (mm)]]*Table11232[[#This Row],[h (mm)]]*Table11232[[#This Row],[L(mm)]])</f>
        <v>6.7567499999999993E-4</v>
      </c>
      <c r="P73" s="8">
        <f>Table11232[[#This Row],[M (KN.mm)]]/(Table11232[[#This Row],[b (mm)]]*Table11232[[#This Row],[d (mm)]]*Table11232[[#This Row],[L(mm)]])</f>
        <v>7.6999999999999996E-4</v>
      </c>
      <c r="Q73" s="8">
        <f>Table11232[[#This Row],[M (KN.mm)]]/(Table11232[[#This Row],[b (mm)]]*Table11232[[#This Row],[h (mm)]]*Table11232[[#This Row],[L(mm)]]*Table11232[[#This Row],[fc (Mpa)]])</f>
        <v>7.7663793103448267E-6</v>
      </c>
      <c r="R73" s="8">
        <f>Table11232[[#This Row],[M (KN.mm)]]/(Table11232[[#This Row],[b (mm)]]*Table11232[[#This Row],[h (mm)]]*Table11232[[#This Row],[L(mm)]]/2)</f>
        <v>1.3513499999999999E-3</v>
      </c>
      <c r="S73" s="8">
        <f>Table11232[[#This Row],[M (KN.mm)]]/(Table11232[[#This Row],[a (mm)]]*Table11232[[#This Row],[b (mm)]]*Table11232[[#This Row],[h (mm)]]*Table11232[[#This Row],[L(mm)]]/2)</f>
        <v>1.2499999999999999E-6</v>
      </c>
      <c r="T73" s="8">
        <f>G73/($AN$5*AK73*0.001*Table11232[[#This Row],[pho (%)]])</f>
        <v>2.1846119118275524E-6</v>
      </c>
      <c r="U73" s="8">
        <f>Table11232[[#This Row],[M (KN.mm)]]/(Table11232[[#This Row],[b (mm)]]*Table11232[[#This Row],[d (mm)]]*Table11232[[#This Row],[pho (%)]])</f>
        <v>0.874235807860262</v>
      </c>
      <c r="V73" s="8">
        <f>E73*224.8/(2*SQRT(Table11232[[#This Row],[fc (Mpa)]]*145.037)*Table11232[[#This Row],[b (mm)]]*Table11232[[#This Row],[d (mm)]]*(1/25.4)^2)</f>
        <v>1.1954762546947852</v>
      </c>
      <c r="W73" s="8">
        <f>Table11232[[#This Row],[M (KN.mm)]]/$G$76</f>
        <v>0.51261829652996849</v>
      </c>
      <c r="X73" s="8">
        <f>E73*224.8/(2*SQRT(Table11232[[#This Row],[fc (Mpa)]]*145.037)*Table11232[[#This Row],[b (mm)]]*Table11232[[#This Row],[d (mm)]]*(1/25.4)^2+Table11232[[#This Row],[Av fy d/s (N)]]*0.2248)</f>
        <v>0.6520491544834921</v>
      </c>
      <c r="Y73" s="15">
        <v>1.2909999999999999</v>
      </c>
      <c r="Z73" s="8">
        <f>Table11232[[#This Row],[Av fy/(b S) (Mpa)]]*Table11232[[#This Row],[d (mm)]]*Table11232[[#This Row],[b (mm)]]</f>
        <v>90628.2</v>
      </c>
      <c r="AA73" s="8">
        <f>Table11232[[#This Row],[d (mm)]]/260</f>
        <v>1.35</v>
      </c>
      <c r="AB73" s="8">
        <f>Table11232[[#This Row],[a/d]]*Table11232[[#This Row],[d]]</f>
        <v>1081.08</v>
      </c>
      <c r="AC73" s="8">
        <f>Table11232[[#This Row],[d]]</f>
        <v>351</v>
      </c>
      <c r="AD73" s="8">
        <v>400</v>
      </c>
      <c r="AE73" s="5">
        <v>200</v>
      </c>
      <c r="AF73" s="1">
        <v>87</v>
      </c>
      <c r="AG73" s="8">
        <f>Table11232[[#This Row],[pho (%)]]/100*Table11232[[#This Row],[b (mm)]]*Table11232[[#This Row],[d (mm)]]</f>
        <v>1607.58</v>
      </c>
      <c r="AH73" s="1">
        <v>2.29</v>
      </c>
      <c r="AI73" s="8">
        <v>500</v>
      </c>
      <c r="AJ73" s="8">
        <f>(1/3-0.21*(MIN(Table11232[[#This Row],[b (mm)]],AD73)/MAX(Table11232[[#This Row],[b (mm)]],AD73))*(MIN(Table11232[[#This Row],[b (mm)]],AD73)^4/(12*MAX(Table11232[[#This Row],[b (mm)]],AD73)^4)))*MAX(Table11232[[#This Row],[b (mm)]],AD73)*MIN(Table11232[[#This Row],[b (mm)]],AD73)^3</f>
        <v>1064916666.6666665</v>
      </c>
      <c r="AK73" s="8">
        <f>Table11232[[#This Row],[b (mm)]]*AD73^3/12</f>
        <v>1066666666.6666666</v>
      </c>
      <c r="AL73" s="8">
        <v>2600</v>
      </c>
      <c r="AM73" s="14"/>
      <c r="AN73" s="22"/>
      <c r="AO73" s="13"/>
      <c r="AP73" s="13"/>
    </row>
    <row r="74" spans="1:43" x14ac:dyDescent="0.25">
      <c r="A74" s="34" t="s">
        <v>144</v>
      </c>
      <c r="B74" s="15">
        <v>6</v>
      </c>
      <c r="C74" s="3">
        <v>73</v>
      </c>
      <c r="D74" s="15">
        <v>3.08</v>
      </c>
      <c r="E74" s="15">
        <v>150</v>
      </c>
      <c r="F74" s="15">
        <v>351</v>
      </c>
      <c r="G74" s="8">
        <f t="shared" si="40"/>
        <v>162162</v>
      </c>
      <c r="H74" s="8">
        <f t="shared" si="41"/>
        <v>5.7724168593289565E-6</v>
      </c>
      <c r="I74" s="8">
        <f>G74/(Table11232[[#This Row],[b (mm)]]*AC74^2)</f>
        <v>6.5811965811965814E-3</v>
      </c>
      <c r="J74" s="8">
        <f t="shared" si="42"/>
        <v>0.57477699399096782</v>
      </c>
      <c r="K74" s="8">
        <f t="shared" si="43"/>
        <v>4.485862803375164E-6</v>
      </c>
      <c r="L74" s="8">
        <f>E74/(Table11232[[#This Row],[b (mm)]]*AC74)</f>
        <v>2.136752136752137E-3</v>
      </c>
      <c r="M74" s="8">
        <f>Table11232[[#This Row],[M (KN.mm)]]/(Table11232[[#This Row],[b (mm)]]*Table11232[[#This Row],[d (mm)]])</f>
        <v>2.31</v>
      </c>
      <c r="N74" s="8">
        <f>Table11232[[#This Row],[M (KN.mm)]]/(Table11232[[#This Row],[b (mm)]]*Table11232[[#This Row],[h (mm)]])</f>
        <v>2.0270250000000001</v>
      </c>
      <c r="O74" s="8">
        <f>Table11232[[#This Row],[M (KN.mm)]]/(Table11232[[#This Row],[b (mm)]]*Table11232[[#This Row],[h (mm)]]*Table11232[[#This Row],[L(mm)]])</f>
        <v>7.7962500000000004E-4</v>
      </c>
      <c r="P74" s="8">
        <f>Table11232[[#This Row],[M (KN.mm)]]/(Table11232[[#This Row],[b (mm)]]*Table11232[[#This Row],[d (mm)]]*Table11232[[#This Row],[L(mm)]])</f>
        <v>8.8846153846153849E-4</v>
      </c>
      <c r="Q74" s="8">
        <f>Table11232[[#This Row],[M (KN.mm)]]/(Table11232[[#This Row],[b (mm)]]*Table11232[[#This Row],[h (mm)]]*Table11232[[#This Row],[L(mm)]]*Table11232[[#This Row],[fc (Mpa)]])</f>
        <v>8.9612068965517245E-6</v>
      </c>
      <c r="R74" s="8">
        <f>Table11232[[#This Row],[M (KN.mm)]]/(Table11232[[#This Row],[b (mm)]]*Table11232[[#This Row],[h (mm)]]*Table11232[[#This Row],[L(mm)]]/2)</f>
        <v>1.5592500000000001E-3</v>
      </c>
      <c r="S74" s="8">
        <f>Table11232[[#This Row],[M (KN.mm)]]/(Table11232[[#This Row],[a (mm)]]*Table11232[[#This Row],[b (mm)]]*Table11232[[#This Row],[h (mm)]]*Table11232[[#This Row],[L(mm)]]/2)</f>
        <v>1.4423076923076922E-6</v>
      </c>
      <c r="T74" s="8">
        <f>G74/($AN$5*AK74*0.001*Table11232[[#This Row],[pho (%)]])</f>
        <v>2.5207060521087148E-6</v>
      </c>
      <c r="U74" s="8">
        <f>Table11232[[#This Row],[M (KN.mm)]]/(Table11232[[#This Row],[b (mm)]]*Table11232[[#This Row],[d (mm)]]*Table11232[[#This Row],[pho (%)]])</f>
        <v>1.0087336244541485</v>
      </c>
      <c r="V74" s="8">
        <f>E74*224.8/(2*SQRT(Table11232[[#This Row],[fc (Mpa)]]*145.037)*Table11232[[#This Row],[b (mm)]]*Table11232[[#This Row],[d (mm)]]*(1/25.4)^2)</f>
        <v>1.3793956784939831</v>
      </c>
      <c r="W74" s="8">
        <f>Table11232[[#This Row],[M (KN.mm)]]/$G$76</f>
        <v>0.59148264984227139</v>
      </c>
      <c r="X74" s="8">
        <f>E74*224.8/(2*SQRT(Table11232[[#This Row],[fc (Mpa)]]*145.037)*Table11232[[#This Row],[b (mm)]]*Table11232[[#This Row],[d (mm)]]*(1/25.4)^2+Table11232[[#This Row],[Av fy d/s (N)]]*0.2248)</f>
        <v>0.75236440901941404</v>
      </c>
      <c r="Y74" s="15">
        <v>1.2909999999999999</v>
      </c>
      <c r="Z74" s="8">
        <f>Table11232[[#This Row],[Av fy/(b S) (Mpa)]]*Table11232[[#This Row],[d (mm)]]*Table11232[[#This Row],[b (mm)]]</f>
        <v>90628.2</v>
      </c>
      <c r="AA74" s="8">
        <f>Table11232[[#This Row],[d (mm)]]/260</f>
        <v>1.35</v>
      </c>
      <c r="AB74" s="8">
        <f>Table11232[[#This Row],[a/d]]*Table11232[[#This Row],[d]]</f>
        <v>1081.08</v>
      </c>
      <c r="AC74" s="8">
        <f>Table11232[[#This Row],[d]]</f>
        <v>351</v>
      </c>
      <c r="AD74" s="8">
        <v>400</v>
      </c>
      <c r="AE74" s="5">
        <v>200</v>
      </c>
      <c r="AF74" s="1">
        <v>87</v>
      </c>
      <c r="AG74" s="8">
        <f>Table11232[[#This Row],[pho (%)]]/100*Table11232[[#This Row],[b (mm)]]*Table11232[[#This Row],[d (mm)]]</f>
        <v>1607.58</v>
      </c>
      <c r="AH74" s="1">
        <v>2.29</v>
      </c>
      <c r="AI74" s="8">
        <v>500</v>
      </c>
      <c r="AJ74" s="8">
        <f>(1/3-0.21*(MIN(Table11232[[#This Row],[b (mm)]],AD74)/MAX(Table11232[[#This Row],[b (mm)]],AD74))*(MIN(Table11232[[#This Row],[b (mm)]],AD74)^4/(12*MAX(Table11232[[#This Row],[b (mm)]],AD74)^4)))*MAX(Table11232[[#This Row],[b (mm)]],AD74)*MIN(Table11232[[#This Row],[b (mm)]],AD74)^3</f>
        <v>1064916666.6666665</v>
      </c>
      <c r="AK74" s="8">
        <f>Table11232[[#This Row],[b (mm)]]*AD74^3/12</f>
        <v>1066666666.6666666</v>
      </c>
      <c r="AL74" s="8">
        <v>2600</v>
      </c>
      <c r="AM74" s="14"/>
      <c r="AN74" s="22"/>
      <c r="AO74" s="13"/>
      <c r="AP74" s="13"/>
    </row>
    <row r="75" spans="1:43" x14ac:dyDescent="0.25">
      <c r="A75" s="34" t="s">
        <v>144</v>
      </c>
      <c r="B75" s="15">
        <v>7</v>
      </c>
      <c r="C75" s="3">
        <v>74</v>
      </c>
      <c r="D75" s="15">
        <v>3.08</v>
      </c>
      <c r="E75" s="15">
        <v>195</v>
      </c>
      <c r="F75" s="15">
        <v>351</v>
      </c>
      <c r="G75" s="8">
        <f t="shared" si="40"/>
        <v>210810.59999999998</v>
      </c>
      <c r="H75" s="8">
        <f t="shared" si="41"/>
        <v>7.5041419171276421E-6</v>
      </c>
      <c r="I75" s="8">
        <f>G75/(Table11232[[#This Row],[b (mm)]]*AC75^2)</f>
        <v>8.5555555555555541E-3</v>
      </c>
      <c r="J75" s="8">
        <f t="shared" si="42"/>
        <v>0.74721009218825807</v>
      </c>
      <c r="K75" s="8">
        <f t="shared" si="43"/>
        <v>5.8316216443877128E-6</v>
      </c>
      <c r="L75" s="8">
        <f>E75/(Table11232[[#This Row],[b (mm)]]*AC75)</f>
        <v>2.7777777777777779E-3</v>
      </c>
      <c r="M75" s="8">
        <f>Table11232[[#This Row],[M (KN.mm)]]/(Table11232[[#This Row],[b (mm)]]*Table11232[[#This Row],[d (mm)]])</f>
        <v>3.0029999999999997</v>
      </c>
      <c r="N75" s="8">
        <f>Table11232[[#This Row],[M (KN.mm)]]/(Table11232[[#This Row],[b (mm)]]*Table11232[[#This Row],[h (mm)]])</f>
        <v>2.6351324999999997</v>
      </c>
      <c r="O75" s="8">
        <f>Table11232[[#This Row],[M (KN.mm)]]/(Table11232[[#This Row],[b (mm)]]*Table11232[[#This Row],[h (mm)]]*Table11232[[#This Row],[L(mm)]])</f>
        <v>1.0135124999999998E-3</v>
      </c>
      <c r="P75" s="8">
        <f>Table11232[[#This Row],[M (KN.mm)]]/(Table11232[[#This Row],[b (mm)]]*Table11232[[#This Row],[d (mm)]]*Table11232[[#This Row],[L(mm)]])</f>
        <v>1.1549999999999998E-3</v>
      </c>
      <c r="Q75" s="8">
        <f>Table11232[[#This Row],[M (KN.mm)]]/(Table11232[[#This Row],[b (mm)]]*Table11232[[#This Row],[h (mm)]]*Table11232[[#This Row],[L(mm)]]*Table11232[[#This Row],[fc (Mpa)]])</f>
        <v>1.1649568965517241E-5</v>
      </c>
      <c r="R75" s="8">
        <f>Table11232[[#This Row],[M (KN.mm)]]/(Table11232[[#This Row],[b (mm)]]*Table11232[[#This Row],[h (mm)]]*Table11232[[#This Row],[L(mm)]]/2)</f>
        <v>2.0270249999999996E-3</v>
      </c>
      <c r="S75" s="8">
        <f>Table11232[[#This Row],[M (KN.mm)]]/(Table11232[[#This Row],[a (mm)]]*Table11232[[#This Row],[b (mm)]]*Table11232[[#This Row],[h (mm)]]*Table11232[[#This Row],[L(mm)]]/2)</f>
        <v>1.8749999999999998E-6</v>
      </c>
      <c r="T75" s="8">
        <f>G75/($AN$5*AK75*0.001*Table11232[[#This Row],[pho (%)]])</f>
        <v>3.2769178677413288E-6</v>
      </c>
      <c r="U75" s="8">
        <f>Table11232[[#This Row],[M (KN.mm)]]/(Table11232[[#This Row],[b (mm)]]*Table11232[[#This Row],[d (mm)]]*Table11232[[#This Row],[pho (%)]])</f>
        <v>1.3113537117903928</v>
      </c>
      <c r="V75" s="8">
        <f>E75*224.8/(2*SQRT(Table11232[[#This Row],[fc (Mpa)]]*145.037)*Table11232[[#This Row],[b (mm)]]*Table11232[[#This Row],[d (mm)]]*(1/25.4)^2)</f>
        <v>1.793214382042178</v>
      </c>
      <c r="W75" s="8">
        <f>Table11232[[#This Row],[M (KN.mm)]]/$G$76</f>
        <v>0.76892744479495267</v>
      </c>
      <c r="X75" s="8">
        <f>E75*224.8/(2*SQRT(Table11232[[#This Row],[fc (Mpa)]]*145.037)*Table11232[[#This Row],[b (mm)]]*Table11232[[#This Row],[d (mm)]]*(1/25.4)^2+Table11232[[#This Row],[Av fy d/s (N)]]*0.2248)</f>
        <v>0.97807373172523815</v>
      </c>
      <c r="Y75" s="15">
        <v>1.2909999999999999</v>
      </c>
      <c r="Z75" s="8">
        <f>Table11232[[#This Row],[Av fy/(b S) (Mpa)]]*Table11232[[#This Row],[d (mm)]]*Table11232[[#This Row],[b (mm)]]</f>
        <v>90628.2</v>
      </c>
      <c r="AA75" s="8">
        <f>Table11232[[#This Row],[d (mm)]]/260</f>
        <v>1.35</v>
      </c>
      <c r="AB75" s="8">
        <f>Table11232[[#This Row],[a/d]]*Table11232[[#This Row],[d]]</f>
        <v>1081.08</v>
      </c>
      <c r="AC75" s="8">
        <f>Table11232[[#This Row],[d]]</f>
        <v>351</v>
      </c>
      <c r="AD75" s="8">
        <v>400</v>
      </c>
      <c r="AE75" s="5">
        <v>200</v>
      </c>
      <c r="AF75" s="1">
        <v>87</v>
      </c>
      <c r="AG75" s="8">
        <f>Table11232[[#This Row],[pho (%)]]/100*Table11232[[#This Row],[b (mm)]]*Table11232[[#This Row],[d (mm)]]</f>
        <v>1607.58</v>
      </c>
      <c r="AH75" s="1">
        <v>2.29</v>
      </c>
      <c r="AI75" s="8">
        <v>500</v>
      </c>
      <c r="AJ75" s="8">
        <f>(1/3-0.21*(MIN(Table11232[[#This Row],[b (mm)]],AD75)/MAX(Table11232[[#This Row],[b (mm)]],AD75))*(MIN(Table11232[[#This Row],[b (mm)]],AD75)^4/(12*MAX(Table11232[[#This Row],[b (mm)]],AD75)^4)))*MAX(Table11232[[#This Row],[b (mm)]],AD75)*MIN(Table11232[[#This Row],[b (mm)]],AD75)^3</f>
        <v>1064916666.6666665</v>
      </c>
      <c r="AK75" s="8">
        <f>Table11232[[#This Row],[b (mm)]]*AD75^3/12</f>
        <v>1066666666.6666666</v>
      </c>
      <c r="AL75" s="8">
        <v>2600</v>
      </c>
      <c r="AM75" s="14"/>
      <c r="AN75" s="22"/>
      <c r="AO75" s="13"/>
      <c r="AP75" s="13"/>
    </row>
    <row r="76" spans="1:43" x14ac:dyDescent="0.25">
      <c r="A76" s="34" t="s">
        <v>144</v>
      </c>
      <c r="B76" s="15">
        <v>8</v>
      </c>
      <c r="C76" s="3">
        <v>75</v>
      </c>
      <c r="D76" s="15">
        <v>3.08</v>
      </c>
      <c r="E76" s="15">
        <v>253.6</v>
      </c>
      <c r="F76" s="15">
        <v>351</v>
      </c>
      <c r="G76" s="8">
        <f t="shared" si="40"/>
        <v>274161.88799999998</v>
      </c>
      <c r="H76" s="8">
        <f t="shared" si="41"/>
        <v>9.759232770172155E-6</v>
      </c>
      <c r="I76" s="8">
        <f>G76/(Table11232[[#This Row],[b (mm)]]*AC76^2)</f>
        <v>1.1126609686609685E-2</v>
      </c>
      <c r="J76" s="8">
        <f t="shared" si="42"/>
        <v>0.97175630450739625</v>
      </c>
      <c r="K76" s="8">
        <f t="shared" si="43"/>
        <v>7.5840987129062765E-6</v>
      </c>
      <c r="L76" s="8">
        <f>E76/(Table11232[[#This Row],[b (mm)]]*AC76)</f>
        <v>3.6125356125356126E-3</v>
      </c>
      <c r="M76" s="8">
        <f>Table11232[[#This Row],[M (KN.mm)]]/(Table11232[[#This Row],[b (mm)]]*Table11232[[#This Row],[d (mm)]])</f>
        <v>3.9054399999999996</v>
      </c>
      <c r="N76" s="8">
        <f>Table11232[[#This Row],[M (KN.mm)]]/(Table11232[[#This Row],[b (mm)]]*Table11232[[#This Row],[h (mm)]])</f>
        <v>3.4270235999999996</v>
      </c>
      <c r="O76" s="8">
        <f>Table11232[[#This Row],[M (KN.mm)]]/(Table11232[[#This Row],[b (mm)]]*Table11232[[#This Row],[h (mm)]]*Table11232[[#This Row],[L(mm)]])</f>
        <v>1.318086E-3</v>
      </c>
      <c r="P76" s="8">
        <f>Table11232[[#This Row],[M (KN.mm)]]/(Table11232[[#This Row],[b (mm)]]*Table11232[[#This Row],[d (mm)]]*Table11232[[#This Row],[L(mm)]])</f>
        <v>1.5020923076923076E-3</v>
      </c>
      <c r="Q76" s="8">
        <f>Table11232[[#This Row],[M (KN.mm)]]/(Table11232[[#This Row],[b (mm)]]*Table11232[[#This Row],[h (mm)]]*Table11232[[#This Row],[L(mm)]]*Table11232[[#This Row],[fc (Mpa)]])</f>
        <v>1.5150413793103447E-5</v>
      </c>
      <c r="R76" s="8">
        <f>Table11232[[#This Row],[M (KN.mm)]]/(Table11232[[#This Row],[b (mm)]]*Table11232[[#This Row],[h (mm)]]*Table11232[[#This Row],[L(mm)]]/2)</f>
        <v>2.636172E-3</v>
      </c>
      <c r="S76" s="8">
        <f>Table11232[[#This Row],[M (KN.mm)]]/(Table11232[[#This Row],[a (mm)]]*Table11232[[#This Row],[b (mm)]]*Table11232[[#This Row],[h (mm)]]*Table11232[[#This Row],[L(mm)]]/2)</f>
        <v>2.4384615384615381E-6</v>
      </c>
      <c r="T76" s="8">
        <f>G76/($AN$5*AK76*0.001*Table11232[[#This Row],[pho (%)]])</f>
        <v>4.2616736987651328E-6</v>
      </c>
      <c r="U76" s="8">
        <f>Table11232[[#This Row],[M (KN.mm)]]/(Table11232[[#This Row],[b (mm)]]*Table11232[[#This Row],[d (mm)]]*Table11232[[#This Row],[pho (%)]])</f>
        <v>1.7054323144104802</v>
      </c>
      <c r="V76" s="8">
        <f>E76*224.8/(2*SQRT(Table11232[[#This Row],[fc (Mpa)]]*145.037)*Table11232[[#This Row],[b (mm)]]*Table11232[[#This Row],[d (mm)]]*(1/25.4)^2)</f>
        <v>2.3320982937738273</v>
      </c>
      <c r="W76" s="8">
        <f>Table11232[[#This Row],[M (KN.mm)]]/$G$76</f>
        <v>1</v>
      </c>
      <c r="X76" s="8">
        <f>E76*224.8/(2*SQRT(Table11232[[#This Row],[fc (Mpa)]]*145.037)*Table11232[[#This Row],[b (mm)]]*Table11232[[#This Row],[d (mm)]]*(1/25.4)^2+Table11232[[#This Row],[Av fy d/s (N)]]*0.2248)</f>
        <v>1.2719974275154893</v>
      </c>
      <c r="Y76" s="15">
        <v>1.2909999999999999</v>
      </c>
      <c r="Z76" s="8">
        <f>Table11232[[#This Row],[Av fy/(b S) (Mpa)]]*Table11232[[#This Row],[d (mm)]]*Table11232[[#This Row],[b (mm)]]</f>
        <v>90628.2</v>
      </c>
      <c r="AA76" s="8">
        <f>Table11232[[#This Row],[d (mm)]]/260</f>
        <v>1.35</v>
      </c>
      <c r="AB76" s="8">
        <f>Table11232[[#This Row],[a/d]]*Table11232[[#This Row],[d]]</f>
        <v>1081.08</v>
      </c>
      <c r="AC76" s="8">
        <f>Table11232[[#This Row],[d]]</f>
        <v>351</v>
      </c>
      <c r="AD76" s="8">
        <v>400</v>
      </c>
      <c r="AE76" s="5">
        <v>200</v>
      </c>
      <c r="AF76" s="1">
        <v>87</v>
      </c>
      <c r="AG76" s="8">
        <f>Table11232[[#This Row],[pho (%)]]/100*Table11232[[#This Row],[b (mm)]]*Table11232[[#This Row],[d (mm)]]</f>
        <v>1607.58</v>
      </c>
      <c r="AH76" s="1">
        <v>2.29</v>
      </c>
      <c r="AI76" s="8">
        <v>500</v>
      </c>
      <c r="AJ76" s="8">
        <f>(1/3-0.21*(MIN(Table11232[[#This Row],[b (mm)]],AD76)/MAX(Table11232[[#This Row],[b (mm)]],AD76))*(MIN(Table11232[[#This Row],[b (mm)]],AD76)^4/(12*MAX(Table11232[[#This Row],[b (mm)]],AD76)^4)))*MAX(Table11232[[#This Row],[b (mm)]],AD76)*MIN(Table11232[[#This Row],[b (mm)]],AD76)^3</f>
        <v>1064916666.6666665</v>
      </c>
      <c r="AK76" s="8">
        <f>Table11232[[#This Row],[b (mm)]]*AD76^3/12</f>
        <v>1066666666.6666666</v>
      </c>
      <c r="AL76" s="8">
        <v>2600</v>
      </c>
      <c r="AM76" s="14"/>
      <c r="AN76" s="22"/>
      <c r="AO76" s="13"/>
      <c r="AP76" s="13"/>
    </row>
    <row r="77" spans="1:43" x14ac:dyDescent="0.25">
      <c r="A77" s="16" t="s">
        <v>145</v>
      </c>
      <c r="B77" s="15">
        <v>1</v>
      </c>
      <c r="C77" s="3">
        <v>76</v>
      </c>
      <c r="D77" s="15">
        <v>3.08</v>
      </c>
      <c r="E77" s="15">
        <v>35</v>
      </c>
      <c r="F77" s="15">
        <v>351</v>
      </c>
      <c r="G77" s="8">
        <f t="shared" ref="G77:G87" si="44">E77*AB77</f>
        <v>37837.799999999996</v>
      </c>
      <c r="H77" s="8">
        <f t="shared" ref="H77:H87" si="45">G77/($AN$5*AK77*0.001)</f>
        <v>1.3468972671767562E-6</v>
      </c>
      <c r="I77" s="8">
        <f>G77/(Table11232[[#This Row],[b (mm)]]*AC77^2)</f>
        <v>1.5356125356125354E-3</v>
      </c>
      <c r="J77" s="8">
        <f t="shared" ref="J77:J87" si="46">G77/(AG77*AI77*AC77*0.001)</f>
        <v>0.10271655756605588</v>
      </c>
      <c r="K77" s="8">
        <f t="shared" ref="K77:K87" si="47">E77/($AN$4*AJ77*0.001)</f>
        <v>1.0467013207875382E-6</v>
      </c>
      <c r="L77" s="8">
        <f>E77/(Table11232[[#This Row],[b (mm)]]*AC77)</f>
        <v>4.9857549857549861E-4</v>
      </c>
      <c r="M77" s="8">
        <f>Table11232[[#This Row],[M (KN.mm)]]/(Table11232[[#This Row],[b (mm)]]*Table11232[[#This Row],[d (mm)]])</f>
        <v>0.53899999999999992</v>
      </c>
      <c r="N77" s="8">
        <f>Table11232[[#This Row],[M (KN.mm)]]/(Table11232[[#This Row],[b (mm)]]*Table11232[[#This Row],[h (mm)]])</f>
        <v>0.47297249999999996</v>
      </c>
      <c r="O77" s="8">
        <f>Table11232[[#This Row],[M (KN.mm)]]/(Table11232[[#This Row],[b (mm)]]*Table11232[[#This Row],[h (mm)]]*Table11232[[#This Row],[L(mm)]])</f>
        <v>1.8191249999999998E-4</v>
      </c>
      <c r="P77" s="8">
        <f>Table11232[[#This Row],[M (KN.mm)]]/(Table11232[[#This Row],[b (mm)]]*Table11232[[#This Row],[d (mm)]]*Table11232[[#This Row],[L(mm)]])</f>
        <v>2.0730769230769229E-4</v>
      </c>
      <c r="Q77" s="8">
        <f>Table11232[[#This Row],[M (KN.mm)]]/(Table11232[[#This Row],[b (mm)]]*Table11232[[#This Row],[h (mm)]]*Table11232[[#This Row],[L(mm)]]*Table11232[[#This Row],[fc (Mpa)]])</f>
        <v>2.0909482758620687E-6</v>
      </c>
      <c r="R77" s="8">
        <f>Table11232[[#This Row],[M (KN.mm)]]/(Table11232[[#This Row],[b (mm)]]*Table11232[[#This Row],[h (mm)]]*Table11232[[#This Row],[L(mm)]]/2)</f>
        <v>3.6382499999999997E-4</v>
      </c>
      <c r="S77" s="8">
        <f>Table11232[[#This Row],[M (KN.mm)]]/(Table11232[[#This Row],[a (mm)]]*Table11232[[#This Row],[b (mm)]]*Table11232[[#This Row],[h (mm)]]*Table11232[[#This Row],[L(mm)]]/2)</f>
        <v>3.3653846153846149E-7</v>
      </c>
      <c r="T77" s="8">
        <f>G77/($AN$5*AK77*0.001*Table11232[[#This Row],[pho (%)]])</f>
        <v>4.5046731343704219E-7</v>
      </c>
      <c r="U77" s="8">
        <f>Table11232[[#This Row],[M (KN.mm)]]/(Table11232[[#This Row],[b (mm)]]*Table11232[[#This Row],[d (mm)]]*Table11232[[#This Row],[pho (%)]])</f>
        <v>0.18026755852842805</v>
      </c>
      <c r="V77" s="8">
        <f>E77*224.8/(2*SQRT(Table11232[[#This Row],[fc (Mpa)]]*145.037)*Table11232[[#This Row],[b (mm)]]*Table11232[[#This Row],[d (mm)]]*(1/25.4)^2)</f>
        <v>0.32185899164859605</v>
      </c>
      <c r="W77" s="8">
        <f>Table11232[[#This Row],[M (KN.mm)]]/$G$87</f>
        <v>0.13157894736842105</v>
      </c>
      <c r="X77" s="8">
        <f>E77*224.8/(2*SQRT(Table11232[[#This Row],[fc (Mpa)]]*145.037)*Table11232[[#This Row],[b (mm)]]*Table11232[[#This Row],[d (mm)]]*(1/25.4)^2+Table11232[[#This Row],[Av fy d/s (N)]]*0.2248)</f>
        <v>0.17555169543786325</v>
      </c>
      <c r="Y77" s="15">
        <v>1.2909999999999999</v>
      </c>
      <c r="Z77" s="8">
        <f>Table11232[[#This Row],[Av fy/(b S) (Mpa)]]*Table11232[[#This Row],[d (mm)]]*Table11232[[#This Row],[b (mm)]]</f>
        <v>90628.2</v>
      </c>
      <c r="AA77" s="8">
        <f>Table11232[[#This Row],[d (mm)]]/260</f>
        <v>1.35</v>
      </c>
      <c r="AB77" s="8">
        <f>Table11232[[#This Row],[a/d]]*Table11232[[#This Row],[d]]</f>
        <v>1081.08</v>
      </c>
      <c r="AC77" s="8">
        <f>Table11232[[#This Row],[d]]</f>
        <v>351</v>
      </c>
      <c r="AD77" s="8">
        <v>400</v>
      </c>
      <c r="AE77" s="5">
        <v>200</v>
      </c>
      <c r="AF77" s="1">
        <v>87</v>
      </c>
      <c r="AG77" s="8">
        <f>Table11232[[#This Row],[pho (%)]]/100*Table11232[[#This Row],[b (mm)]]*Table11232[[#This Row],[d (mm)]]</f>
        <v>2098.98</v>
      </c>
      <c r="AH77" s="1">
        <v>2.99</v>
      </c>
      <c r="AI77" s="8">
        <v>500</v>
      </c>
      <c r="AJ77" s="8">
        <f>(1/3-0.21*(MIN(Table11232[[#This Row],[b (mm)]],AD77)/MAX(Table11232[[#This Row],[b (mm)]],AD77))*(MIN(Table11232[[#This Row],[b (mm)]],AD77)^4/(12*MAX(Table11232[[#This Row],[b (mm)]],AD77)^4)))*MAX(Table11232[[#This Row],[b (mm)]],AD77)*MIN(Table11232[[#This Row],[b (mm)]],AD77)^3</f>
        <v>1064916666.6666665</v>
      </c>
      <c r="AK77" s="8">
        <f>Table11232[[#This Row],[b (mm)]]*AD77^3/12</f>
        <v>1066666666.6666666</v>
      </c>
      <c r="AL77" s="8">
        <v>2600</v>
      </c>
      <c r="AM77" s="14"/>
      <c r="AN77" s="22"/>
      <c r="AO77" s="13"/>
      <c r="AP77" s="13"/>
    </row>
    <row r="78" spans="1:43" x14ac:dyDescent="0.25">
      <c r="A78" s="16" t="s">
        <v>145</v>
      </c>
      <c r="B78" s="15">
        <v>2</v>
      </c>
      <c r="C78" s="3">
        <v>77</v>
      </c>
      <c r="D78" s="15">
        <v>3.08</v>
      </c>
      <c r="E78" s="15">
        <v>42</v>
      </c>
      <c r="F78" s="15">
        <v>351</v>
      </c>
      <c r="G78" s="8">
        <f t="shared" si="44"/>
        <v>45405.36</v>
      </c>
      <c r="H78" s="8">
        <f t="shared" si="45"/>
        <v>1.6162767206121079E-6</v>
      </c>
      <c r="I78" s="8">
        <f>G78/(Table11232[[#This Row],[b (mm)]]*AC78^2)</f>
        <v>1.8427350427350428E-3</v>
      </c>
      <c r="J78" s="8">
        <f t="shared" si="46"/>
        <v>0.12325986907926707</v>
      </c>
      <c r="K78" s="8">
        <f t="shared" si="47"/>
        <v>1.2560415849450459E-6</v>
      </c>
      <c r="L78" s="8">
        <f>E78/(Table11232[[#This Row],[b (mm)]]*AC78)</f>
        <v>5.9829059829059829E-4</v>
      </c>
      <c r="M78" s="8">
        <f>Table11232[[#This Row],[M (KN.mm)]]/(Table11232[[#This Row],[b (mm)]]*Table11232[[#This Row],[d (mm)]])</f>
        <v>0.64680000000000004</v>
      </c>
      <c r="N78" s="8">
        <f>Table11232[[#This Row],[M (KN.mm)]]/(Table11232[[#This Row],[b (mm)]]*Table11232[[#This Row],[h (mm)]])</f>
        <v>0.56756700000000004</v>
      </c>
      <c r="O78" s="8">
        <f>Table11232[[#This Row],[M (KN.mm)]]/(Table11232[[#This Row],[b (mm)]]*Table11232[[#This Row],[h (mm)]]*Table11232[[#This Row],[L(mm)]])</f>
        <v>2.18295E-4</v>
      </c>
      <c r="P78" s="8">
        <f>Table11232[[#This Row],[M (KN.mm)]]/(Table11232[[#This Row],[b (mm)]]*Table11232[[#This Row],[d (mm)]]*Table11232[[#This Row],[L(mm)]])</f>
        <v>2.4876923076923079E-4</v>
      </c>
      <c r="Q78" s="8">
        <f>Table11232[[#This Row],[M (KN.mm)]]/(Table11232[[#This Row],[b (mm)]]*Table11232[[#This Row],[h (mm)]]*Table11232[[#This Row],[L(mm)]]*Table11232[[#This Row],[fc (Mpa)]])</f>
        <v>2.5091379310344826E-6</v>
      </c>
      <c r="R78" s="8">
        <f>Table11232[[#This Row],[M (KN.mm)]]/(Table11232[[#This Row],[b (mm)]]*Table11232[[#This Row],[h (mm)]]*Table11232[[#This Row],[L(mm)]]/2)</f>
        <v>4.3658999999999999E-4</v>
      </c>
      <c r="S78" s="8">
        <f>Table11232[[#This Row],[M (KN.mm)]]/(Table11232[[#This Row],[a (mm)]]*Table11232[[#This Row],[b (mm)]]*Table11232[[#This Row],[h (mm)]]*Table11232[[#This Row],[L(mm)]]/2)</f>
        <v>4.0384615384615386E-7</v>
      </c>
      <c r="T78" s="8">
        <f>G78/($AN$5*AK78*0.001*Table11232[[#This Row],[pho (%)]])</f>
        <v>5.4056077612445071E-7</v>
      </c>
      <c r="U78" s="8">
        <f>Table11232[[#This Row],[M (KN.mm)]]/(Table11232[[#This Row],[b (mm)]]*Table11232[[#This Row],[d (mm)]]*Table11232[[#This Row],[pho (%)]])</f>
        <v>0.21632107023411368</v>
      </c>
      <c r="V78" s="8">
        <f>E78*224.8/(2*SQRT(Table11232[[#This Row],[fc (Mpa)]]*145.037)*Table11232[[#This Row],[b (mm)]]*Table11232[[#This Row],[d (mm)]]*(1/25.4)^2)</f>
        <v>0.38623078997831528</v>
      </c>
      <c r="W78" s="8">
        <f>Table11232[[#This Row],[M (KN.mm)]]/$G$87</f>
        <v>0.15789473684210528</v>
      </c>
      <c r="X78" s="8">
        <f>E78*224.8/(2*SQRT(Table11232[[#This Row],[fc (Mpa)]]*145.037)*Table11232[[#This Row],[b (mm)]]*Table11232[[#This Row],[d (mm)]]*(1/25.4)^2+Table11232[[#This Row],[Av fy d/s (N)]]*0.2248)</f>
        <v>0.21066203452543592</v>
      </c>
      <c r="Y78" s="15">
        <v>1.2909999999999999</v>
      </c>
      <c r="Z78" s="8">
        <f>Table11232[[#This Row],[Av fy/(b S) (Mpa)]]*Table11232[[#This Row],[d (mm)]]*Table11232[[#This Row],[b (mm)]]</f>
        <v>90628.2</v>
      </c>
      <c r="AA78" s="8">
        <f>Table11232[[#This Row],[d (mm)]]/260</f>
        <v>1.35</v>
      </c>
      <c r="AB78" s="8">
        <f>Table11232[[#This Row],[a/d]]*Table11232[[#This Row],[d]]</f>
        <v>1081.08</v>
      </c>
      <c r="AC78" s="8">
        <f>Table11232[[#This Row],[d]]</f>
        <v>351</v>
      </c>
      <c r="AD78" s="8">
        <v>400</v>
      </c>
      <c r="AE78" s="5">
        <v>200</v>
      </c>
      <c r="AF78" s="1">
        <v>87</v>
      </c>
      <c r="AG78" s="8">
        <f>Table11232[[#This Row],[pho (%)]]/100*Table11232[[#This Row],[b (mm)]]*Table11232[[#This Row],[d (mm)]]</f>
        <v>2098.98</v>
      </c>
      <c r="AH78" s="1">
        <v>2.99</v>
      </c>
      <c r="AI78" s="8">
        <v>500</v>
      </c>
      <c r="AJ78" s="8">
        <f>(1/3-0.21*(MIN(Table11232[[#This Row],[b (mm)]],AD78)/MAX(Table11232[[#This Row],[b (mm)]],AD78))*(MIN(Table11232[[#This Row],[b (mm)]],AD78)^4/(12*MAX(Table11232[[#This Row],[b (mm)]],AD78)^4)))*MAX(Table11232[[#This Row],[b (mm)]],AD78)*MIN(Table11232[[#This Row],[b (mm)]],AD78)^3</f>
        <v>1064916666.6666665</v>
      </c>
      <c r="AK78" s="8">
        <f>Table11232[[#This Row],[b (mm)]]*AD78^3/12</f>
        <v>1066666666.6666666</v>
      </c>
      <c r="AL78" s="8">
        <v>2600</v>
      </c>
      <c r="AM78" s="14"/>
      <c r="AN78" s="22"/>
      <c r="AO78" s="13"/>
      <c r="AP78" s="13"/>
    </row>
    <row r="79" spans="1:43" x14ac:dyDescent="0.25">
      <c r="A79" s="16" t="s">
        <v>145</v>
      </c>
      <c r="B79" s="15">
        <v>3</v>
      </c>
      <c r="C79" s="3">
        <v>78</v>
      </c>
      <c r="D79" s="15">
        <v>3.08</v>
      </c>
      <c r="E79" s="15">
        <v>60</v>
      </c>
      <c r="F79" s="15">
        <v>351</v>
      </c>
      <c r="G79" s="8">
        <f t="shared" si="44"/>
        <v>64864.799999999996</v>
      </c>
      <c r="H79" s="8">
        <f t="shared" si="45"/>
        <v>2.3089667437315824E-6</v>
      </c>
      <c r="I79" s="8">
        <f>G79/(Table11232[[#This Row],[b (mm)]]*AC79^2)</f>
        <v>2.6324786324786321E-3</v>
      </c>
      <c r="J79" s="8">
        <f t="shared" si="46"/>
        <v>0.1760855272560958</v>
      </c>
      <c r="K79" s="8">
        <f t="shared" si="47"/>
        <v>1.7943451213500656E-6</v>
      </c>
      <c r="L79" s="8">
        <f>E79/(Table11232[[#This Row],[b (mm)]]*AC79)</f>
        <v>8.547008547008547E-4</v>
      </c>
      <c r="M79" s="8">
        <f>Table11232[[#This Row],[M (KN.mm)]]/(Table11232[[#This Row],[b (mm)]]*Table11232[[#This Row],[d (mm)]])</f>
        <v>0.92399999999999993</v>
      </c>
      <c r="N79" s="8">
        <f>Table11232[[#This Row],[M (KN.mm)]]/(Table11232[[#This Row],[b (mm)]]*Table11232[[#This Row],[h (mm)]])</f>
        <v>0.81080999999999992</v>
      </c>
      <c r="O79" s="8">
        <f>Table11232[[#This Row],[M (KN.mm)]]/(Table11232[[#This Row],[b (mm)]]*Table11232[[#This Row],[h (mm)]]*Table11232[[#This Row],[L(mm)]])</f>
        <v>3.1184999999999996E-4</v>
      </c>
      <c r="P79" s="8">
        <f>Table11232[[#This Row],[M (KN.mm)]]/(Table11232[[#This Row],[b (mm)]]*Table11232[[#This Row],[d (mm)]]*Table11232[[#This Row],[L(mm)]])</f>
        <v>3.5538461538461537E-4</v>
      </c>
      <c r="Q79" s="8">
        <f>Table11232[[#This Row],[M (KN.mm)]]/(Table11232[[#This Row],[b (mm)]]*Table11232[[#This Row],[h (mm)]]*Table11232[[#This Row],[L(mm)]]*Table11232[[#This Row],[fc (Mpa)]])</f>
        <v>3.5844827586206893E-6</v>
      </c>
      <c r="R79" s="8">
        <f>Table11232[[#This Row],[M (KN.mm)]]/(Table11232[[#This Row],[b (mm)]]*Table11232[[#This Row],[h (mm)]]*Table11232[[#This Row],[L(mm)]]/2)</f>
        <v>6.2369999999999993E-4</v>
      </c>
      <c r="S79" s="8">
        <f>Table11232[[#This Row],[M (KN.mm)]]/(Table11232[[#This Row],[a (mm)]]*Table11232[[#This Row],[b (mm)]]*Table11232[[#This Row],[h (mm)]]*Table11232[[#This Row],[L(mm)]]/2)</f>
        <v>5.7692307692307691E-7</v>
      </c>
      <c r="T79" s="8">
        <f>G79/($AN$5*AK79*0.001*Table11232[[#This Row],[pho (%)]])</f>
        <v>7.7222968017778669E-7</v>
      </c>
      <c r="U79" s="8">
        <f>Table11232[[#This Row],[M (KN.mm)]]/(Table11232[[#This Row],[b (mm)]]*Table11232[[#This Row],[d (mm)]]*Table11232[[#This Row],[pho (%)]])</f>
        <v>0.30903010033444811</v>
      </c>
      <c r="V79" s="8">
        <f>E79*224.8/(2*SQRT(Table11232[[#This Row],[fc (Mpa)]]*145.037)*Table11232[[#This Row],[b (mm)]]*Table11232[[#This Row],[d (mm)]]*(1/25.4)^2)</f>
        <v>0.55175827139759326</v>
      </c>
      <c r="W79" s="8">
        <f>Table11232[[#This Row],[M (KN.mm)]]/$G$87</f>
        <v>0.22556390977443611</v>
      </c>
      <c r="X79" s="8">
        <f>E79*224.8/(2*SQRT(Table11232[[#This Row],[fc (Mpa)]]*145.037)*Table11232[[#This Row],[b (mm)]]*Table11232[[#This Row],[d (mm)]]*(1/25.4)^2+Table11232[[#This Row],[Av fy d/s (N)]]*0.2248)</f>
        <v>0.30094576360776559</v>
      </c>
      <c r="Y79" s="15">
        <v>1.2909999999999999</v>
      </c>
      <c r="Z79" s="8">
        <f>Table11232[[#This Row],[Av fy/(b S) (Mpa)]]*Table11232[[#This Row],[d (mm)]]*Table11232[[#This Row],[b (mm)]]</f>
        <v>90628.2</v>
      </c>
      <c r="AA79" s="8">
        <f>Table11232[[#This Row],[d (mm)]]/260</f>
        <v>1.35</v>
      </c>
      <c r="AB79" s="8">
        <f>Table11232[[#This Row],[a/d]]*Table11232[[#This Row],[d]]</f>
        <v>1081.08</v>
      </c>
      <c r="AC79" s="8">
        <f>Table11232[[#This Row],[d]]</f>
        <v>351</v>
      </c>
      <c r="AD79" s="8">
        <v>400</v>
      </c>
      <c r="AE79" s="5">
        <v>200</v>
      </c>
      <c r="AF79" s="1">
        <v>87</v>
      </c>
      <c r="AG79" s="8">
        <f>Table11232[[#This Row],[pho (%)]]/100*Table11232[[#This Row],[b (mm)]]*Table11232[[#This Row],[d (mm)]]</f>
        <v>2098.98</v>
      </c>
      <c r="AH79" s="1">
        <v>2.99</v>
      </c>
      <c r="AI79" s="8">
        <v>500</v>
      </c>
      <c r="AJ79" s="8">
        <f>(1/3-0.21*(MIN(Table11232[[#This Row],[b (mm)]],AD79)/MAX(Table11232[[#This Row],[b (mm)]],AD79))*(MIN(Table11232[[#This Row],[b (mm)]],AD79)^4/(12*MAX(Table11232[[#This Row],[b (mm)]],AD79)^4)))*MAX(Table11232[[#This Row],[b (mm)]],AD79)*MIN(Table11232[[#This Row],[b (mm)]],AD79)^3</f>
        <v>1064916666.6666665</v>
      </c>
      <c r="AK79" s="8">
        <f>Table11232[[#This Row],[b (mm)]]*AD79^3/12</f>
        <v>1066666666.6666666</v>
      </c>
      <c r="AL79" s="8">
        <v>2600</v>
      </c>
      <c r="AM79" s="14"/>
      <c r="AN79" s="22"/>
      <c r="AO79" s="13"/>
      <c r="AP79" s="13"/>
    </row>
    <row r="80" spans="1:43" x14ac:dyDescent="0.25">
      <c r="A80" s="16" t="s">
        <v>145</v>
      </c>
      <c r="B80" s="15">
        <v>4</v>
      </c>
      <c r="C80" s="3">
        <v>79</v>
      </c>
      <c r="D80" s="15">
        <v>3.08</v>
      </c>
      <c r="E80" s="15">
        <v>85</v>
      </c>
      <c r="F80" s="15">
        <v>351</v>
      </c>
      <c r="G80" s="8">
        <f t="shared" si="44"/>
        <v>91891.799999999988</v>
      </c>
      <c r="H80" s="8">
        <f t="shared" si="45"/>
        <v>3.2710362202864083E-6</v>
      </c>
      <c r="I80" s="8">
        <f>G80/(Table11232[[#This Row],[b (mm)]]*AC80^2)</f>
        <v>3.729344729344729E-3</v>
      </c>
      <c r="J80" s="8">
        <f t="shared" si="46"/>
        <v>0.24945449694613572</v>
      </c>
      <c r="K80" s="8">
        <f t="shared" si="47"/>
        <v>2.5419889219125928E-6</v>
      </c>
      <c r="L80" s="8">
        <f>E80/(Table11232[[#This Row],[b (mm)]]*AC80)</f>
        <v>1.2108262108262108E-3</v>
      </c>
      <c r="M80" s="8">
        <f>Table11232[[#This Row],[M (KN.mm)]]/(Table11232[[#This Row],[b (mm)]]*Table11232[[#This Row],[d (mm)]])</f>
        <v>1.3089999999999999</v>
      </c>
      <c r="N80" s="8">
        <f>Table11232[[#This Row],[M (KN.mm)]]/(Table11232[[#This Row],[b (mm)]]*Table11232[[#This Row],[h (mm)]])</f>
        <v>1.1486474999999998</v>
      </c>
      <c r="O80" s="8">
        <f>Table11232[[#This Row],[M (KN.mm)]]/(Table11232[[#This Row],[b (mm)]]*Table11232[[#This Row],[h (mm)]]*Table11232[[#This Row],[L(mm)]])</f>
        <v>4.4178749999999997E-4</v>
      </c>
      <c r="P80" s="8">
        <f>Table11232[[#This Row],[M (KN.mm)]]/(Table11232[[#This Row],[b (mm)]]*Table11232[[#This Row],[d (mm)]]*Table11232[[#This Row],[L(mm)]])</f>
        <v>5.0346153846153835E-4</v>
      </c>
      <c r="Q80" s="8">
        <f>Table11232[[#This Row],[M (KN.mm)]]/(Table11232[[#This Row],[b (mm)]]*Table11232[[#This Row],[h (mm)]]*Table11232[[#This Row],[L(mm)]]*Table11232[[#This Row],[fc (Mpa)]])</f>
        <v>5.0780172413793095E-6</v>
      </c>
      <c r="R80" s="8">
        <f>Table11232[[#This Row],[M (KN.mm)]]/(Table11232[[#This Row],[b (mm)]]*Table11232[[#This Row],[h (mm)]]*Table11232[[#This Row],[L(mm)]]/2)</f>
        <v>8.8357499999999994E-4</v>
      </c>
      <c r="S80" s="8">
        <f>Table11232[[#This Row],[M (KN.mm)]]/(Table11232[[#This Row],[a (mm)]]*Table11232[[#This Row],[b (mm)]]*Table11232[[#This Row],[h (mm)]]*Table11232[[#This Row],[L(mm)]]/2)</f>
        <v>8.1730769230769218E-7</v>
      </c>
      <c r="T80" s="8">
        <f>G80/($AN$5*AK80*0.001*Table11232[[#This Row],[pho (%)]])</f>
        <v>1.093992046918531E-6</v>
      </c>
      <c r="U80" s="8">
        <f>Table11232[[#This Row],[M (KN.mm)]]/(Table11232[[#This Row],[b (mm)]]*Table11232[[#This Row],[d (mm)]]*Table11232[[#This Row],[pho (%)]])</f>
        <v>0.43779264214046809</v>
      </c>
      <c r="V80" s="8">
        <f>E80*224.8/(2*SQRT(Table11232[[#This Row],[fc (Mpa)]]*145.037)*Table11232[[#This Row],[b (mm)]]*Table11232[[#This Row],[d (mm)]]*(1/25.4)^2)</f>
        <v>0.78165755114659041</v>
      </c>
      <c r="W80" s="8">
        <f>Table11232[[#This Row],[M (KN.mm)]]/$G$87</f>
        <v>0.31954887218045114</v>
      </c>
      <c r="X80" s="8">
        <f>E80*224.8/(2*SQRT(Table11232[[#This Row],[fc (Mpa)]]*145.037)*Table11232[[#This Row],[b (mm)]]*Table11232[[#This Row],[d (mm)]]*(1/25.4)^2+Table11232[[#This Row],[Av fy d/s (N)]]*0.2248)</f>
        <v>0.42633983177766793</v>
      </c>
      <c r="Y80" s="15">
        <v>1.2909999999999999</v>
      </c>
      <c r="Z80" s="8">
        <f>Table11232[[#This Row],[Av fy/(b S) (Mpa)]]*Table11232[[#This Row],[d (mm)]]*Table11232[[#This Row],[b (mm)]]</f>
        <v>90628.2</v>
      </c>
      <c r="AA80" s="8">
        <f>Table11232[[#This Row],[d (mm)]]/260</f>
        <v>1.35</v>
      </c>
      <c r="AB80" s="8">
        <f>Table11232[[#This Row],[a/d]]*Table11232[[#This Row],[d]]</f>
        <v>1081.08</v>
      </c>
      <c r="AC80" s="8">
        <f>Table11232[[#This Row],[d]]</f>
        <v>351</v>
      </c>
      <c r="AD80" s="8">
        <v>400</v>
      </c>
      <c r="AE80" s="5">
        <v>200</v>
      </c>
      <c r="AF80" s="1">
        <v>87</v>
      </c>
      <c r="AG80" s="8">
        <f>Table11232[[#This Row],[pho (%)]]/100*Table11232[[#This Row],[b (mm)]]*Table11232[[#This Row],[d (mm)]]</f>
        <v>2098.98</v>
      </c>
      <c r="AH80" s="1">
        <v>2.99</v>
      </c>
      <c r="AI80" s="8">
        <v>500</v>
      </c>
      <c r="AJ80" s="8">
        <f>(1/3-0.21*(MIN(Table11232[[#This Row],[b (mm)]],AD80)/MAX(Table11232[[#This Row],[b (mm)]],AD80))*(MIN(Table11232[[#This Row],[b (mm)]],AD80)^4/(12*MAX(Table11232[[#This Row],[b (mm)]],AD80)^4)))*MAX(Table11232[[#This Row],[b (mm)]],AD80)*MIN(Table11232[[#This Row],[b (mm)]],AD80)^3</f>
        <v>1064916666.6666665</v>
      </c>
      <c r="AK80" s="8">
        <f>Table11232[[#This Row],[b (mm)]]*AD80^3/12</f>
        <v>1066666666.6666666</v>
      </c>
      <c r="AL80" s="8">
        <v>2600</v>
      </c>
      <c r="AM80" s="14"/>
      <c r="AN80" s="22"/>
      <c r="AO80" s="13"/>
      <c r="AP80" s="13"/>
    </row>
    <row r="81" spans="1:43" x14ac:dyDescent="0.25">
      <c r="A81" s="16" t="s">
        <v>145</v>
      </c>
      <c r="B81" s="15">
        <v>5</v>
      </c>
      <c r="C81" s="3">
        <v>80</v>
      </c>
      <c r="D81" s="15">
        <v>3.08</v>
      </c>
      <c r="E81" s="15">
        <v>110</v>
      </c>
      <c r="F81" s="15">
        <v>351</v>
      </c>
      <c r="G81" s="8">
        <f t="shared" si="44"/>
        <v>118918.79999999999</v>
      </c>
      <c r="H81" s="8">
        <f t="shared" si="45"/>
        <v>4.2331056968412338E-6</v>
      </c>
      <c r="I81" s="8">
        <f>G81/(Table11232[[#This Row],[b (mm)]]*AC81^2)</f>
        <v>4.8262108262108255E-3</v>
      </c>
      <c r="J81" s="8">
        <f t="shared" si="46"/>
        <v>0.32282346663617562</v>
      </c>
      <c r="K81" s="8">
        <f t="shared" si="47"/>
        <v>3.28963272247512E-6</v>
      </c>
      <c r="L81" s="8">
        <f>E81/(Table11232[[#This Row],[b (mm)]]*AC81)</f>
        <v>1.5669515669515669E-3</v>
      </c>
      <c r="M81" s="8">
        <f>Table11232[[#This Row],[M (KN.mm)]]/(Table11232[[#This Row],[b (mm)]]*Table11232[[#This Row],[d (mm)]])</f>
        <v>1.6939999999999997</v>
      </c>
      <c r="N81" s="8">
        <f>Table11232[[#This Row],[M (KN.mm)]]/(Table11232[[#This Row],[b (mm)]]*Table11232[[#This Row],[h (mm)]])</f>
        <v>1.4864849999999998</v>
      </c>
      <c r="O81" s="8">
        <f>Table11232[[#This Row],[M (KN.mm)]]/(Table11232[[#This Row],[b (mm)]]*Table11232[[#This Row],[h (mm)]]*Table11232[[#This Row],[L(mm)]])</f>
        <v>5.7172499999999992E-4</v>
      </c>
      <c r="P81" s="8">
        <f>Table11232[[#This Row],[M (KN.mm)]]/(Table11232[[#This Row],[b (mm)]]*Table11232[[#This Row],[d (mm)]]*Table11232[[#This Row],[L(mm)]])</f>
        <v>6.5153846153846143E-4</v>
      </c>
      <c r="Q81" s="8">
        <f>Table11232[[#This Row],[M (KN.mm)]]/(Table11232[[#This Row],[b (mm)]]*Table11232[[#This Row],[h (mm)]]*Table11232[[#This Row],[L(mm)]]*Table11232[[#This Row],[fc (Mpa)]])</f>
        <v>6.5715517241379305E-6</v>
      </c>
      <c r="R81" s="8">
        <f>Table11232[[#This Row],[M (KN.mm)]]/(Table11232[[#This Row],[b (mm)]]*Table11232[[#This Row],[h (mm)]]*Table11232[[#This Row],[L(mm)]]/2)</f>
        <v>1.1434499999999998E-3</v>
      </c>
      <c r="S81" s="8">
        <f>Table11232[[#This Row],[M (KN.mm)]]/(Table11232[[#This Row],[a (mm)]]*Table11232[[#This Row],[b (mm)]]*Table11232[[#This Row],[h (mm)]]*Table11232[[#This Row],[L(mm)]]/2)</f>
        <v>1.0576923076923076E-6</v>
      </c>
      <c r="T81" s="8">
        <f>G81/($AN$5*AK81*0.001*Table11232[[#This Row],[pho (%)]])</f>
        <v>1.4157544136592756E-6</v>
      </c>
      <c r="U81" s="8">
        <f>Table11232[[#This Row],[M (KN.mm)]]/(Table11232[[#This Row],[b (mm)]]*Table11232[[#This Row],[d (mm)]]*Table11232[[#This Row],[pho (%)]])</f>
        <v>0.56655518394648818</v>
      </c>
      <c r="V81" s="8">
        <f>E81*224.8/(2*SQRT(Table11232[[#This Row],[fc (Mpa)]]*145.037)*Table11232[[#This Row],[b (mm)]]*Table11232[[#This Row],[d (mm)]]*(1/25.4)^2)</f>
        <v>1.0115568308955876</v>
      </c>
      <c r="W81" s="8">
        <f>Table11232[[#This Row],[M (KN.mm)]]/$G$87</f>
        <v>0.41353383458646614</v>
      </c>
      <c r="X81" s="8">
        <f>E81*224.8/(2*SQRT(Table11232[[#This Row],[fc (Mpa)]]*145.037)*Table11232[[#This Row],[b (mm)]]*Table11232[[#This Row],[d (mm)]]*(1/25.4)^2+Table11232[[#This Row],[Av fy d/s (N)]]*0.2248)</f>
        <v>0.55173389994757027</v>
      </c>
      <c r="Y81" s="15">
        <v>1.2909999999999999</v>
      </c>
      <c r="Z81" s="8">
        <f>Table11232[[#This Row],[Av fy/(b S) (Mpa)]]*Table11232[[#This Row],[d (mm)]]*Table11232[[#This Row],[b (mm)]]</f>
        <v>90628.2</v>
      </c>
      <c r="AA81" s="8">
        <f>Table11232[[#This Row],[d (mm)]]/260</f>
        <v>1.35</v>
      </c>
      <c r="AB81" s="8">
        <f>Table11232[[#This Row],[a/d]]*Table11232[[#This Row],[d]]</f>
        <v>1081.08</v>
      </c>
      <c r="AC81" s="8">
        <f>Table11232[[#This Row],[d]]</f>
        <v>351</v>
      </c>
      <c r="AD81" s="8">
        <v>400</v>
      </c>
      <c r="AE81" s="5">
        <v>200</v>
      </c>
      <c r="AF81" s="1">
        <v>87</v>
      </c>
      <c r="AG81" s="8">
        <f>Table11232[[#This Row],[pho (%)]]/100*Table11232[[#This Row],[b (mm)]]*Table11232[[#This Row],[d (mm)]]</f>
        <v>2098.98</v>
      </c>
      <c r="AH81" s="1">
        <v>2.99</v>
      </c>
      <c r="AI81" s="8">
        <v>500</v>
      </c>
      <c r="AJ81" s="8">
        <f>(1/3-0.21*(MIN(Table11232[[#This Row],[b (mm)]],AD81)/MAX(Table11232[[#This Row],[b (mm)]],AD81))*(MIN(Table11232[[#This Row],[b (mm)]],AD81)^4/(12*MAX(Table11232[[#This Row],[b (mm)]],AD81)^4)))*MAX(Table11232[[#This Row],[b (mm)]],AD81)*MIN(Table11232[[#This Row],[b (mm)]],AD81)^3</f>
        <v>1064916666.6666665</v>
      </c>
      <c r="AK81" s="8">
        <f>Table11232[[#This Row],[b (mm)]]*AD81^3/12</f>
        <v>1066666666.6666666</v>
      </c>
      <c r="AL81" s="8">
        <v>2600</v>
      </c>
      <c r="AM81" s="14"/>
      <c r="AN81" s="22"/>
      <c r="AO81" s="13"/>
      <c r="AP81" s="13"/>
    </row>
    <row r="82" spans="1:43" x14ac:dyDescent="0.25">
      <c r="A82" s="16" t="s">
        <v>145</v>
      </c>
      <c r="B82" s="15">
        <v>6</v>
      </c>
      <c r="C82" s="3">
        <v>81</v>
      </c>
      <c r="D82" s="15">
        <v>3.08</v>
      </c>
      <c r="E82" s="15">
        <v>130</v>
      </c>
      <c r="F82" s="15">
        <v>351</v>
      </c>
      <c r="G82" s="8">
        <f t="shared" si="44"/>
        <v>140540.4</v>
      </c>
      <c r="H82" s="8">
        <f t="shared" si="45"/>
        <v>5.0027612780850956E-6</v>
      </c>
      <c r="I82" s="8">
        <f>G82/(Table11232[[#This Row],[b (mm)]]*AC82^2)</f>
        <v>5.7037037037037039E-3</v>
      </c>
      <c r="J82" s="8">
        <f t="shared" si="46"/>
        <v>0.3815186423882076</v>
      </c>
      <c r="K82" s="8">
        <f t="shared" si="47"/>
        <v>3.8877477629251424E-6</v>
      </c>
      <c r="L82" s="8">
        <f>E82/(Table11232[[#This Row],[b (mm)]]*AC82)</f>
        <v>1.8518518518518519E-3</v>
      </c>
      <c r="M82" s="8">
        <f>Table11232[[#This Row],[M (KN.mm)]]/(Table11232[[#This Row],[b (mm)]]*Table11232[[#This Row],[d (mm)]])</f>
        <v>2.0019999999999998</v>
      </c>
      <c r="N82" s="8">
        <f>Table11232[[#This Row],[M (KN.mm)]]/(Table11232[[#This Row],[b (mm)]]*Table11232[[#This Row],[h (mm)]])</f>
        <v>1.7567549999999998</v>
      </c>
      <c r="O82" s="8">
        <f>Table11232[[#This Row],[M (KN.mm)]]/(Table11232[[#This Row],[b (mm)]]*Table11232[[#This Row],[h (mm)]]*Table11232[[#This Row],[L(mm)]])</f>
        <v>6.7567499999999993E-4</v>
      </c>
      <c r="P82" s="8">
        <f>Table11232[[#This Row],[M (KN.mm)]]/(Table11232[[#This Row],[b (mm)]]*Table11232[[#This Row],[d (mm)]]*Table11232[[#This Row],[L(mm)]])</f>
        <v>7.6999999999999996E-4</v>
      </c>
      <c r="Q82" s="8">
        <f>Table11232[[#This Row],[M (KN.mm)]]/(Table11232[[#This Row],[b (mm)]]*Table11232[[#This Row],[h (mm)]]*Table11232[[#This Row],[L(mm)]]*Table11232[[#This Row],[fc (Mpa)]])</f>
        <v>7.7663793103448267E-6</v>
      </c>
      <c r="R82" s="8">
        <f>Table11232[[#This Row],[M (KN.mm)]]/(Table11232[[#This Row],[b (mm)]]*Table11232[[#This Row],[h (mm)]]*Table11232[[#This Row],[L(mm)]]/2)</f>
        <v>1.3513499999999999E-3</v>
      </c>
      <c r="S82" s="8">
        <f>Table11232[[#This Row],[M (KN.mm)]]/(Table11232[[#This Row],[a (mm)]]*Table11232[[#This Row],[b (mm)]]*Table11232[[#This Row],[h (mm)]]*Table11232[[#This Row],[L(mm)]]/2)</f>
        <v>1.2499999999999999E-6</v>
      </c>
      <c r="T82" s="8">
        <f>G82/($AN$5*AK82*0.001*Table11232[[#This Row],[pho (%)]])</f>
        <v>1.6731643070518712E-6</v>
      </c>
      <c r="U82" s="8">
        <f>Table11232[[#This Row],[M (KN.mm)]]/(Table11232[[#This Row],[b (mm)]]*Table11232[[#This Row],[d (mm)]]*Table11232[[#This Row],[pho (%)]])</f>
        <v>0.66956521739130426</v>
      </c>
      <c r="V82" s="8">
        <f>E82*224.8/(2*SQRT(Table11232[[#This Row],[fc (Mpa)]]*145.037)*Table11232[[#This Row],[b (mm)]]*Table11232[[#This Row],[d (mm)]]*(1/25.4)^2)</f>
        <v>1.1954762546947852</v>
      </c>
      <c r="W82" s="8">
        <f>Table11232[[#This Row],[M (KN.mm)]]/$G$87</f>
        <v>0.48872180451127822</v>
      </c>
      <c r="X82" s="8">
        <f>E82*224.8/(2*SQRT(Table11232[[#This Row],[fc (Mpa)]]*145.037)*Table11232[[#This Row],[b (mm)]]*Table11232[[#This Row],[d (mm)]]*(1/25.4)^2+Table11232[[#This Row],[Av fy d/s (N)]]*0.2248)</f>
        <v>0.6520491544834921</v>
      </c>
      <c r="Y82" s="15">
        <v>1.2909999999999999</v>
      </c>
      <c r="Z82" s="8">
        <f>Table11232[[#This Row],[Av fy/(b S) (Mpa)]]*Table11232[[#This Row],[d (mm)]]*Table11232[[#This Row],[b (mm)]]</f>
        <v>90628.2</v>
      </c>
      <c r="AA82" s="8">
        <f>Table11232[[#This Row],[d (mm)]]/260</f>
        <v>1.35</v>
      </c>
      <c r="AB82" s="8">
        <f>Table11232[[#This Row],[a/d]]*Table11232[[#This Row],[d]]</f>
        <v>1081.08</v>
      </c>
      <c r="AC82" s="8">
        <f>Table11232[[#This Row],[d]]</f>
        <v>351</v>
      </c>
      <c r="AD82" s="8">
        <v>400</v>
      </c>
      <c r="AE82" s="5">
        <v>200</v>
      </c>
      <c r="AF82" s="1">
        <v>87</v>
      </c>
      <c r="AG82" s="8">
        <f>Table11232[[#This Row],[pho (%)]]/100*Table11232[[#This Row],[b (mm)]]*Table11232[[#This Row],[d (mm)]]</f>
        <v>2098.98</v>
      </c>
      <c r="AH82" s="1">
        <v>2.99</v>
      </c>
      <c r="AI82" s="8">
        <v>500</v>
      </c>
      <c r="AJ82" s="8">
        <f>(1/3-0.21*(MIN(Table11232[[#This Row],[b (mm)]],AD82)/MAX(Table11232[[#This Row],[b (mm)]],AD82))*(MIN(Table11232[[#This Row],[b (mm)]],AD82)^4/(12*MAX(Table11232[[#This Row],[b (mm)]],AD82)^4)))*MAX(Table11232[[#This Row],[b (mm)]],AD82)*MIN(Table11232[[#This Row],[b (mm)]],AD82)^3</f>
        <v>1064916666.6666665</v>
      </c>
      <c r="AK82" s="8">
        <f>Table11232[[#This Row],[b (mm)]]*AD82^3/12</f>
        <v>1066666666.6666666</v>
      </c>
      <c r="AL82" s="8">
        <v>2600</v>
      </c>
      <c r="AM82" s="12"/>
      <c r="AN82" s="6"/>
    </row>
    <row r="83" spans="1:43" x14ac:dyDescent="0.25">
      <c r="A83" s="16" t="s">
        <v>145</v>
      </c>
      <c r="B83" s="15">
        <v>7</v>
      </c>
      <c r="C83" s="3">
        <v>82</v>
      </c>
      <c r="D83" s="15">
        <v>3.08</v>
      </c>
      <c r="E83" s="15">
        <v>150</v>
      </c>
      <c r="F83" s="15">
        <v>351</v>
      </c>
      <c r="G83" s="8">
        <f t="shared" si="44"/>
        <v>162162</v>
      </c>
      <c r="H83" s="8">
        <f t="shared" si="45"/>
        <v>5.7724168593289565E-6</v>
      </c>
      <c r="I83" s="8">
        <f>G83/(Table11232[[#This Row],[b (mm)]]*AC83^2)</f>
        <v>6.5811965811965814E-3</v>
      </c>
      <c r="J83" s="8">
        <f t="shared" si="46"/>
        <v>0.44021381814023958</v>
      </c>
      <c r="K83" s="8">
        <f t="shared" si="47"/>
        <v>4.485862803375164E-6</v>
      </c>
      <c r="L83" s="8">
        <f>E83/(Table11232[[#This Row],[b (mm)]]*AC83)</f>
        <v>2.136752136752137E-3</v>
      </c>
      <c r="M83" s="8">
        <f>Table11232[[#This Row],[M (KN.mm)]]/(Table11232[[#This Row],[b (mm)]]*Table11232[[#This Row],[d (mm)]])</f>
        <v>2.31</v>
      </c>
      <c r="N83" s="8">
        <f>Table11232[[#This Row],[M (KN.mm)]]/(Table11232[[#This Row],[b (mm)]]*Table11232[[#This Row],[h (mm)]])</f>
        <v>2.0270250000000001</v>
      </c>
      <c r="O83" s="8">
        <f>Table11232[[#This Row],[M (KN.mm)]]/(Table11232[[#This Row],[b (mm)]]*Table11232[[#This Row],[h (mm)]]*Table11232[[#This Row],[L(mm)]])</f>
        <v>7.7962500000000004E-4</v>
      </c>
      <c r="P83" s="8">
        <f>Table11232[[#This Row],[M (KN.mm)]]/(Table11232[[#This Row],[b (mm)]]*Table11232[[#This Row],[d (mm)]]*Table11232[[#This Row],[L(mm)]])</f>
        <v>8.8846153846153849E-4</v>
      </c>
      <c r="Q83" s="8">
        <f>Table11232[[#This Row],[M (KN.mm)]]/(Table11232[[#This Row],[b (mm)]]*Table11232[[#This Row],[h (mm)]]*Table11232[[#This Row],[L(mm)]]*Table11232[[#This Row],[fc (Mpa)]])</f>
        <v>8.9612068965517245E-6</v>
      </c>
      <c r="R83" s="8">
        <f>Table11232[[#This Row],[M (KN.mm)]]/(Table11232[[#This Row],[b (mm)]]*Table11232[[#This Row],[h (mm)]]*Table11232[[#This Row],[L(mm)]]/2)</f>
        <v>1.5592500000000001E-3</v>
      </c>
      <c r="S83" s="8">
        <f>Table11232[[#This Row],[M (KN.mm)]]/(Table11232[[#This Row],[a (mm)]]*Table11232[[#This Row],[b (mm)]]*Table11232[[#This Row],[h (mm)]]*Table11232[[#This Row],[L(mm)]]/2)</f>
        <v>1.4423076923076922E-6</v>
      </c>
      <c r="T83" s="8">
        <f>G83/($AN$5*AK83*0.001*Table11232[[#This Row],[pho (%)]])</f>
        <v>1.9305742004444668E-6</v>
      </c>
      <c r="U83" s="8">
        <f>Table11232[[#This Row],[M (KN.mm)]]/(Table11232[[#This Row],[b (mm)]]*Table11232[[#This Row],[d (mm)]]*Table11232[[#This Row],[pho (%)]])</f>
        <v>0.77257525083612033</v>
      </c>
      <c r="V83" s="8">
        <f>E83*224.8/(2*SQRT(Table11232[[#This Row],[fc (Mpa)]]*145.037)*Table11232[[#This Row],[b (mm)]]*Table11232[[#This Row],[d (mm)]]*(1/25.4)^2)</f>
        <v>1.3793956784939831</v>
      </c>
      <c r="W83" s="8">
        <f>Table11232[[#This Row],[M (KN.mm)]]/$G$87</f>
        <v>0.56390977443609025</v>
      </c>
      <c r="X83" s="8">
        <f>E83*224.8/(2*SQRT(Table11232[[#This Row],[fc (Mpa)]]*145.037)*Table11232[[#This Row],[b (mm)]]*Table11232[[#This Row],[d (mm)]]*(1/25.4)^2+Table11232[[#This Row],[Av fy d/s (N)]]*0.2248)</f>
        <v>0.75236440901941404</v>
      </c>
      <c r="Y83" s="15">
        <v>1.2909999999999999</v>
      </c>
      <c r="Z83" s="8">
        <f>Table11232[[#This Row],[Av fy/(b S) (Mpa)]]*Table11232[[#This Row],[d (mm)]]*Table11232[[#This Row],[b (mm)]]</f>
        <v>90628.2</v>
      </c>
      <c r="AA83" s="8">
        <f>Table11232[[#This Row],[d (mm)]]/260</f>
        <v>1.35</v>
      </c>
      <c r="AB83" s="8">
        <f>Table11232[[#This Row],[a/d]]*Table11232[[#This Row],[d]]</f>
        <v>1081.08</v>
      </c>
      <c r="AC83" s="8">
        <f>Table11232[[#This Row],[d]]</f>
        <v>351</v>
      </c>
      <c r="AD83" s="8">
        <v>400</v>
      </c>
      <c r="AE83" s="5">
        <v>200</v>
      </c>
      <c r="AF83" s="1">
        <v>87</v>
      </c>
      <c r="AG83" s="8">
        <f>Table11232[[#This Row],[pho (%)]]/100*Table11232[[#This Row],[b (mm)]]*Table11232[[#This Row],[d (mm)]]</f>
        <v>2098.98</v>
      </c>
      <c r="AH83" s="1">
        <v>2.99</v>
      </c>
      <c r="AI83" s="8">
        <v>500</v>
      </c>
      <c r="AJ83" s="8">
        <f>(1/3-0.21*(MIN(Table11232[[#This Row],[b (mm)]],AD83)/MAX(Table11232[[#This Row],[b (mm)]],AD83))*(MIN(Table11232[[#This Row],[b (mm)]],AD83)^4/(12*MAX(Table11232[[#This Row],[b (mm)]],AD83)^4)))*MAX(Table11232[[#This Row],[b (mm)]],AD83)*MIN(Table11232[[#This Row],[b (mm)]],AD83)^3</f>
        <v>1064916666.6666665</v>
      </c>
      <c r="AK83" s="8">
        <f>Table11232[[#This Row],[b (mm)]]*AD83^3/12</f>
        <v>1066666666.6666666</v>
      </c>
      <c r="AL83" s="8">
        <v>2600</v>
      </c>
      <c r="AM83" s="12"/>
      <c r="AN83" s="6"/>
    </row>
    <row r="84" spans="1:43" x14ac:dyDescent="0.25">
      <c r="A84" s="16" t="s">
        <v>145</v>
      </c>
      <c r="B84" s="15">
        <v>8</v>
      </c>
      <c r="C84" s="3">
        <v>83</v>
      </c>
      <c r="D84" s="15">
        <v>3.08</v>
      </c>
      <c r="E84" s="15">
        <v>195</v>
      </c>
      <c r="F84" s="15">
        <v>351</v>
      </c>
      <c r="G84" s="8">
        <f t="shared" si="44"/>
        <v>210810.59999999998</v>
      </c>
      <c r="H84" s="8">
        <f t="shared" si="45"/>
        <v>7.5041419171276421E-6</v>
      </c>
      <c r="I84" s="8">
        <f>G84/(Table11232[[#This Row],[b (mm)]]*AC84^2)</f>
        <v>8.5555555555555541E-3</v>
      </c>
      <c r="J84" s="8">
        <f t="shared" si="46"/>
        <v>0.57227796358231131</v>
      </c>
      <c r="K84" s="8">
        <f t="shared" si="47"/>
        <v>5.8316216443877128E-6</v>
      </c>
      <c r="L84" s="8">
        <f>E84/(Table11232[[#This Row],[b (mm)]]*AC84)</f>
        <v>2.7777777777777779E-3</v>
      </c>
      <c r="M84" s="8">
        <f>Table11232[[#This Row],[M (KN.mm)]]/(Table11232[[#This Row],[b (mm)]]*Table11232[[#This Row],[d (mm)]])</f>
        <v>3.0029999999999997</v>
      </c>
      <c r="N84" s="8">
        <f>Table11232[[#This Row],[M (KN.mm)]]/(Table11232[[#This Row],[b (mm)]]*Table11232[[#This Row],[h (mm)]])</f>
        <v>2.6351324999999997</v>
      </c>
      <c r="O84" s="8">
        <f>Table11232[[#This Row],[M (KN.mm)]]/(Table11232[[#This Row],[b (mm)]]*Table11232[[#This Row],[h (mm)]]*Table11232[[#This Row],[L(mm)]])</f>
        <v>1.0135124999999998E-3</v>
      </c>
      <c r="P84" s="8">
        <f>Table11232[[#This Row],[M (KN.mm)]]/(Table11232[[#This Row],[b (mm)]]*Table11232[[#This Row],[d (mm)]]*Table11232[[#This Row],[L(mm)]])</f>
        <v>1.1549999999999998E-3</v>
      </c>
      <c r="Q84" s="8">
        <f>Table11232[[#This Row],[M (KN.mm)]]/(Table11232[[#This Row],[b (mm)]]*Table11232[[#This Row],[h (mm)]]*Table11232[[#This Row],[L(mm)]]*Table11232[[#This Row],[fc (Mpa)]])</f>
        <v>1.1649568965517241E-5</v>
      </c>
      <c r="R84" s="8">
        <f>Table11232[[#This Row],[M (KN.mm)]]/(Table11232[[#This Row],[b (mm)]]*Table11232[[#This Row],[h (mm)]]*Table11232[[#This Row],[L(mm)]]/2)</f>
        <v>2.0270249999999996E-3</v>
      </c>
      <c r="S84" s="8">
        <f>Table11232[[#This Row],[M (KN.mm)]]/(Table11232[[#This Row],[a (mm)]]*Table11232[[#This Row],[b (mm)]]*Table11232[[#This Row],[h (mm)]]*Table11232[[#This Row],[L(mm)]]/2)</f>
        <v>1.8749999999999998E-6</v>
      </c>
      <c r="T84" s="8">
        <f>G84/($AN$5*AK84*0.001*Table11232[[#This Row],[pho (%)]])</f>
        <v>2.5097464605778068E-6</v>
      </c>
      <c r="U84" s="8">
        <f>Table11232[[#This Row],[M (KN.mm)]]/(Table11232[[#This Row],[b (mm)]]*Table11232[[#This Row],[d (mm)]]*Table11232[[#This Row],[pho (%)]])</f>
        <v>1.0043478260869563</v>
      </c>
      <c r="V84" s="8">
        <f>E84*224.8/(2*SQRT(Table11232[[#This Row],[fc (Mpa)]]*145.037)*Table11232[[#This Row],[b (mm)]]*Table11232[[#This Row],[d (mm)]]*(1/25.4)^2)</f>
        <v>1.793214382042178</v>
      </c>
      <c r="W84" s="8">
        <f>Table11232[[#This Row],[M (KN.mm)]]/$G$87</f>
        <v>0.73308270676691734</v>
      </c>
      <c r="X84" s="8">
        <f>E84*224.8/(2*SQRT(Table11232[[#This Row],[fc (Mpa)]]*145.037)*Table11232[[#This Row],[b (mm)]]*Table11232[[#This Row],[d (mm)]]*(1/25.4)^2+Table11232[[#This Row],[Av fy d/s (N)]]*0.2248)</f>
        <v>0.97807373172523815</v>
      </c>
      <c r="Y84" s="15">
        <v>1.2909999999999999</v>
      </c>
      <c r="Z84" s="8">
        <f>Table11232[[#This Row],[Av fy/(b S) (Mpa)]]*Table11232[[#This Row],[d (mm)]]*Table11232[[#This Row],[b (mm)]]</f>
        <v>90628.2</v>
      </c>
      <c r="AA84" s="8">
        <f>Table11232[[#This Row],[d (mm)]]/260</f>
        <v>1.35</v>
      </c>
      <c r="AB84" s="8">
        <f>Table11232[[#This Row],[a/d]]*Table11232[[#This Row],[d]]</f>
        <v>1081.08</v>
      </c>
      <c r="AC84" s="8">
        <f>Table11232[[#This Row],[d]]</f>
        <v>351</v>
      </c>
      <c r="AD84" s="8">
        <v>400</v>
      </c>
      <c r="AE84" s="5">
        <v>200</v>
      </c>
      <c r="AF84" s="1">
        <v>87</v>
      </c>
      <c r="AG84" s="8">
        <f>Table11232[[#This Row],[pho (%)]]/100*Table11232[[#This Row],[b (mm)]]*Table11232[[#This Row],[d (mm)]]</f>
        <v>2098.98</v>
      </c>
      <c r="AH84" s="1">
        <v>2.99</v>
      </c>
      <c r="AI84" s="8">
        <v>500</v>
      </c>
      <c r="AJ84" s="8">
        <f>(1/3-0.21*(MIN(Table11232[[#This Row],[b (mm)]],AD84)/MAX(Table11232[[#This Row],[b (mm)]],AD84))*(MIN(Table11232[[#This Row],[b (mm)]],AD84)^4/(12*MAX(Table11232[[#This Row],[b (mm)]],AD84)^4)))*MAX(Table11232[[#This Row],[b (mm)]],AD84)*MIN(Table11232[[#This Row],[b (mm)]],AD84)^3</f>
        <v>1064916666.6666665</v>
      </c>
      <c r="AK84" s="8">
        <f>Table11232[[#This Row],[b (mm)]]*AD84^3/12</f>
        <v>1066666666.6666666</v>
      </c>
      <c r="AL84" s="8">
        <v>2600</v>
      </c>
      <c r="AM84" s="14"/>
      <c r="AN84" s="22"/>
      <c r="AO84" s="13"/>
      <c r="AP84" s="13"/>
    </row>
    <row r="85" spans="1:43" x14ac:dyDescent="0.25">
      <c r="A85" s="16" t="s">
        <v>145</v>
      </c>
      <c r="B85" s="15">
        <v>9</v>
      </c>
      <c r="C85" s="3">
        <v>84</v>
      </c>
      <c r="D85" s="15">
        <v>3.08</v>
      </c>
      <c r="E85" s="15">
        <v>220</v>
      </c>
      <c r="F85" s="15">
        <v>351</v>
      </c>
      <c r="G85" s="8">
        <f t="shared" si="44"/>
        <v>237837.59999999998</v>
      </c>
      <c r="H85" s="8">
        <f t="shared" si="45"/>
        <v>8.4662113936824677E-6</v>
      </c>
      <c r="I85" s="8">
        <f>G85/(Table11232[[#This Row],[b (mm)]]*AC85^2)</f>
        <v>9.652421652421651E-3</v>
      </c>
      <c r="J85" s="8">
        <f t="shared" si="46"/>
        <v>0.64564693327235123</v>
      </c>
      <c r="K85" s="8">
        <f t="shared" si="47"/>
        <v>6.5792654449502399E-6</v>
      </c>
      <c r="L85" s="8">
        <f>E85/(Table11232[[#This Row],[b (mm)]]*AC85)</f>
        <v>3.1339031339031338E-3</v>
      </c>
      <c r="M85" s="8">
        <f>Table11232[[#This Row],[M (KN.mm)]]/(Table11232[[#This Row],[b (mm)]]*Table11232[[#This Row],[d (mm)]])</f>
        <v>3.3879999999999995</v>
      </c>
      <c r="N85" s="8">
        <f>Table11232[[#This Row],[M (KN.mm)]]/(Table11232[[#This Row],[b (mm)]]*Table11232[[#This Row],[h (mm)]])</f>
        <v>2.9729699999999997</v>
      </c>
      <c r="O85" s="8">
        <f>Table11232[[#This Row],[M (KN.mm)]]/(Table11232[[#This Row],[b (mm)]]*Table11232[[#This Row],[h (mm)]]*Table11232[[#This Row],[L(mm)]])</f>
        <v>1.1434499999999998E-3</v>
      </c>
      <c r="P85" s="8">
        <f>Table11232[[#This Row],[M (KN.mm)]]/(Table11232[[#This Row],[b (mm)]]*Table11232[[#This Row],[d (mm)]]*Table11232[[#This Row],[L(mm)]])</f>
        <v>1.3030769230769229E-3</v>
      </c>
      <c r="Q85" s="8">
        <f>Table11232[[#This Row],[M (KN.mm)]]/(Table11232[[#This Row],[b (mm)]]*Table11232[[#This Row],[h (mm)]]*Table11232[[#This Row],[L(mm)]]*Table11232[[#This Row],[fc (Mpa)]])</f>
        <v>1.3143103448275861E-5</v>
      </c>
      <c r="R85" s="8">
        <f>Table11232[[#This Row],[M (KN.mm)]]/(Table11232[[#This Row],[b (mm)]]*Table11232[[#This Row],[h (mm)]]*Table11232[[#This Row],[L(mm)]]/2)</f>
        <v>2.2868999999999997E-3</v>
      </c>
      <c r="S85" s="8">
        <f>Table11232[[#This Row],[M (KN.mm)]]/(Table11232[[#This Row],[a (mm)]]*Table11232[[#This Row],[b (mm)]]*Table11232[[#This Row],[h (mm)]]*Table11232[[#This Row],[L(mm)]]/2)</f>
        <v>2.1153846153846151E-6</v>
      </c>
      <c r="T85" s="8">
        <f>G85/($AN$5*AK85*0.001*Table11232[[#This Row],[pho (%)]])</f>
        <v>2.8315088273185512E-6</v>
      </c>
      <c r="U85" s="8">
        <f>Table11232[[#This Row],[M (KN.mm)]]/(Table11232[[#This Row],[b (mm)]]*Table11232[[#This Row],[d (mm)]]*Table11232[[#This Row],[pho (%)]])</f>
        <v>1.1331103678929764</v>
      </c>
      <c r="V85" s="8">
        <f>E85*224.8/(2*SQRT(Table11232[[#This Row],[fc (Mpa)]]*145.037)*Table11232[[#This Row],[b (mm)]]*Table11232[[#This Row],[d (mm)]]*(1/25.4)^2)</f>
        <v>2.0231136617911751</v>
      </c>
      <c r="W85" s="8">
        <f>Table11232[[#This Row],[M (KN.mm)]]/$G$87</f>
        <v>0.82706766917293228</v>
      </c>
      <c r="X85" s="8">
        <f>E85*224.8/(2*SQRT(Table11232[[#This Row],[fc (Mpa)]]*145.037)*Table11232[[#This Row],[b (mm)]]*Table11232[[#This Row],[d (mm)]]*(1/25.4)^2+Table11232[[#This Row],[Av fy d/s (N)]]*0.2248)</f>
        <v>1.1034677998951405</v>
      </c>
      <c r="Y85" s="15">
        <v>1.2909999999999999</v>
      </c>
      <c r="Z85" s="8">
        <f>Table11232[[#This Row],[Av fy/(b S) (Mpa)]]*Table11232[[#This Row],[d (mm)]]*Table11232[[#This Row],[b (mm)]]</f>
        <v>90628.2</v>
      </c>
      <c r="AA85" s="8">
        <f>Table11232[[#This Row],[d (mm)]]/260</f>
        <v>1.35</v>
      </c>
      <c r="AB85" s="8">
        <f>Table11232[[#This Row],[a/d]]*Table11232[[#This Row],[d]]</f>
        <v>1081.08</v>
      </c>
      <c r="AC85" s="8">
        <f>Table11232[[#This Row],[d]]</f>
        <v>351</v>
      </c>
      <c r="AD85" s="8">
        <v>400</v>
      </c>
      <c r="AE85" s="5">
        <v>200</v>
      </c>
      <c r="AF85" s="1">
        <v>87</v>
      </c>
      <c r="AG85" s="8">
        <f>Table11232[[#This Row],[pho (%)]]/100*Table11232[[#This Row],[b (mm)]]*Table11232[[#This Row],[d (mm)]]</f>
        <v>2098.98</v>
      </c>
      <c r="AH85" s="1">
        <v>2.99</v>
      </c>
      <c r="AI85" s="8">
        <v>500</v>
      </c>
      <c r="AJ85" s="8">
        <f>(1/3-0.21*(MIN(Table11232[[#This Row],[b (mm)]],AD85)/MAX(Table11232[[#This Row],[b (mm)]],AD85))*(MIN(Table11232[[#This Row],[b (mm)]],AD85)^4/(12*MAX(Table11232[[#This Row],[b (mm)]],AD85)^4)))*MAX(Table11232[[#This Row],[b (mm)]],AD85)*MIN(Table11232[[#This Row],[b (mm)]],AD85)^3</f>
        <v>1064916666.6666665</v>
      </c>
      <c r="AK85" s="8">
        <f>Table11232[[#This Row],[b (mm)]]*AD85^3/12</f>
        <v>1066666666.6666666</v>
      </c>
      <c r="AL85" s="8">
        <v>2600</v>
      </c>
      <c r="AM85" s="14"/>
      <c r="AN85" s="22"/>
      <c r="AO85" s="13"/>
      <c r="AP85" s="13"/>
    </row>
    <row r="86" spans="1:43" x14ac:dyDescent="0.25">
      <c r="A86" s="16" t="s">
        <v>145</v>
      </c>
      <c r="B86" s="15">
        <v>10</v>
      </c>
      <c r="C86" s="3">
        <v>85</v>
      </c>
      <c r="D86" s="15">
        <v>3.08</v>
      </c>
      <c r="E86" s="15">
        <v>235</v>
      </c>
      <c r="F86" s="15">
        <v>351</v>
      </c>
      <c r="G86" s="8">
        <f t="shared" si="44"/>
        <v>254053.8</v>
      </c>
      <c r="H86" s="8">
        <f t="shared" si="45"/>
        <v>9.0434530796153648E-6</v>
      </c>
      <c r="I86" s="8">
        <f>G86/(Table11232[[#This Row],[b (mm)]]*AC86^2)</f>
        <v>1.0310541310541311E-2</v>
      </c>
      <c r="J86" s="8">
        <f t="shared" si="46"/>
        <v>0.68966831508637527</v>
      </c>
      <c r="K86" s="8">
        <f t="shared" si="47"/>
        <v>7.0278517252877568E-6</v>
      </c>
      <c r="L86" s="8">
        <f>E86/(Table11232[[#This Row],[b (mm)]]*AC86)</f>
        <v>3.3475783475783475E-3</v>
      </c>
      <c r="M86" s="8">
        <f>Table11232[[#This Row],[M (KN.mm)]]/(Table11232[[#This Row],[b (mm)]]*Table11232[[#This Row],[d (mm)]])</f>
        <v>3.6189999999999998</v>
      </c>
      <c r="N86" s="8">
        <f>Table11232[[#This Row],[M (KN.mm)]]/(Table11232[[#This Row],[b (mm)]]*Table11232[[#This Row],[h (mm)]])</f>
        <v>3.1756724999999997</v>
      </c>
      <c r="O86" s="8">
        <f>Table11232[[#This Row],[M (KN.mm)]]/(Table11232[[#This Row],[b (mm)]]*Table11232[[#This Row],[h (mm)]]*Table11232[[#This Row],[L(mm)]])</f>
        <v>1.2214125E-3</v>
      </c>
      <c r="P86" s="8">
        <f>Table11232[[#This Row],[M (KN.mm)]]/(Table11232[[#This Row],[b (mm)]]*Table11232[[#This Row],[d (mm)]]*Table11232[[#This Row],[L(mm)]])</f>
        <v>1.3919230769230768E-3</v>
      </c>
      <c r="Q86" s="8">
        <f>Table11232[[#This Row],[M (KN.mm)]]/(Table11232[[#This Row],[b (mm)]]*Table11232[[#This Row],[h (mm)]]*Table11232[[#This Row],[L(mm)]]*Table11232[[#This Row],[fc (Mpa)]])</f>
        <v>1.4039224137931033E-5</v>
      </c>
      <c r="R86" s="8">
        <f>Table11232[[#This Row],[M (KN.mm)]]/(Table11232[[#This Row],[b (mm)]]*Table11232[[#This Row],[h (mm)]]*Table11232[[#This Row],[L(mm)]]/2)</f>
        <v>2.442825E-3</v>
      </c>
      <c r="S86" s="8">
        <f>Table11232[[#This Row],[M (KN.mm)]]/(Table11232[[#This Row],[a (mm)]]*Table11232[[#This Row],[b (mm)]]*Table11232[[#This Row],[h (mm)]]*Table11232[[#This Row],[L(mm)]]/2)</f>
        <v>2.2596153846153845E-6</v>
      </c>
      <c r="T86" s="8">
        <f>G86/($AN$5*AK86*0.001*Table11232[[#This Row],[pho (%)]])</f>
        <v>3.024566247362998E-6</v>
      </c>
      <c r="U86" s="8">
        <f>Table11232[[#This Row],[M (KN.mm)]]/(Table11232[[#This Row],[b (mm)]]*Table11232[[#This Row],[d (mm)]]*Table11232[[#This Row],[pho (%)]])</f>
        <v>1.2103678929765884</v>
      </c>
      <c r="V86" s="8">
        <f>E86*224.8/(2*SQRT(Table11232[[#This Row],[fc (Mpa)]]*145.037)*Table11232[[#This Row],[b (mm)]]*Table11232[[#This Row],[d (mm)]]*(1/25.4)^2)</f>
        <v>2.1610532296405736</v>
      </c>
      <c r="W86" s="8">
        <f>Table11232[[#This Row],[M (KN.mm)]]/$G$87</f>
        <v>0.88345864661654139</v>
      </c>
      <c r="X86" s="8">
        <f>E86*224.8/(2*SQRT(Table11232[[#This Row],[fc (Mpa)]]*145.037)*Table11232[[#This Row],[b (mm)]]*Table11232[[#This Row],[d (mm)]]*(1/25.4)^2+Table11232[[#This Row],[Av fy d/s (N)]]*0.2248)</f>
        <v>1.1787042407970818</v>
      </c>
      <c r="Y86" s="15">
        <v>1.2909999999999999</v>
      </c>
      <c r="Z86" s="8">
        <f>Table11232[[#This Row],[Av fy/(b S) (Mpa)]]*Table11232[[#This Row],[d (mm)]]*Table11232[[#This Row],[b (mm)]]</f>
        <v>90628.2</v>
      </c>
      <c r="AA86" s="8">
        <f>Table11232[[#This Row],[d (mm)]]/260</f>
        <v>1.35</v>
      </c>
      <c r="AB86" s="8">
        <f>Table11232[[#This Row],[a/d]]*Table11232[[#This Row],[d]]</f>
        <v>1081.08</v>
      </c>
      <c r="AC86" s="8">
        <f>Table11232[[#This Row],[d]]</f>
        <v>351</v>
      </c>
      <c r="AD86" s="8">
        <v>400</v>
      </c>
      <c r="AE86" s="5">
        <v>200</v>
      </c>
      <c r="AF86" s="1">
        <v>87</v>
      </c>
      <c r="AG86" s="8">
        <f>Table11232[[#This Row],[pho (%)]]/100*Table11232[[#This Row],[b (mm)]]*Table11232[[#This Row],[d (mm)]]</f>
        <v>2098.98</v>
      </c>
      <c r="AH86" s="1">
        <v>2.99</v>
      </c>
      <c r="AI86" s="8">
        <v>500</v>
      </c>
      <c r="AJ86" s="8">
        <f>(1/3-0.21*(MIN(Table11232[[#This Row],[b (mm)]],AD86)/MAX(Table11232[[#This Row],[b (mm)]],AD86))*(MIN(Table11232[[#This Row],[b (mm)]],AD86)^4/(12*MAX(Table11232[[#This Row],[b (mm)]],AD86)^4)))*MAX(Table11232[[#This Row],[b (mm)]],AD86)*MIN(Table11232[[#This Row],[b (mm)]],AD86)^3</f>
        <v>1064916666.6666665</v>
      </c>
      <c r="AK86" s="8">
        <f>Table11232[[#This Row],[b (mm)]]*AD86^3/12</f>
        <v>1066666666.6666666</v>
      </c>
      <c r="AL86" s="8">
        <v>2600</v>
      </c>
      <c r="AM86" s="14"/>
      <c r="AN86" s="22"/>
      <c r="AO86" s="13"/>
      <c r="AP86" s="13"/>
    </row>
    <row r="87" spans="1:43" x14ac:dyDescent="0.25">
      <c r="A87" s="16" t="s">
        <v>145</v>
      </c>
      <c r="B87" s="15">
        <v>11</v>
      </c>
      <c r="C87" s="3">
        <v>86</v>
      </c>
      <c r="D87" s="15">
        <v>3.08</v>
      </c>
      <c r="E87" s="15">
        <v>266</v>
      </c>
      <c r="F87" s="15">
        <v>351</v>
      </c>
      <c r="G87" s="8">
        <f t="shared" si="44"/>
        <v>287567.27999999997</v>
      </c>
      <c r="H87" s="8">
        <f t="shared" si="45"/>
        <v>1.0236419230543348E-5</v>
      </c>
      <c r="I87" s="8">
        <f>G87/(Table11232[[#This Row],[b (mm)]]*AC87^2)</f>
        <v>1.1670655270655269E-2</v>
      </c>
      <c r="J87" s="8">
        <f t="shared" si="46"/>
        <v>0.78064583750202476</v>
      </c>
      <c r="K87" s="8">
        <f t="shared" si="47"/>
        <v>7.9549300379852902E-6</v>
      </c>
      <c r="L87" s="8">
        <f>E87/(Table11232[[#This Row],[b (mm)]]*AC87)</f>
        <v>3.7891737891737891E-3</v>
      </c>
      <c r="M87" s="8">
        <f>Table11232[[#This Row],[M (KN.mm)]]/(Table11232[[#This Row],[b (mm)]]*Table11232[[#This Row],[d (mm)]])</f>
        <v>4.0963999999999992</v>
      </c>
      <c r="N87" s="8">
        <f>Table11232[[#This Row],[M (KN.mm)]]/(Table11232[[#This Row],[b (mm)]]*Table11232[[#This Row],[h (mm)]])</f>
        <v>3.5945909999999994</v>
      </c>
      <c r="O87" s="8">
        <f>Table11232[[#This Row],[M (KN.mm)]]/(Table11232[[#This Row],[b (mm)]]*Table11232[[#This Row],[h (mm)]]*Table11232[[#This Row],[L(mm)]])</f>
        <v>1.3825349999999998E-3</v>
      </c>
      <c r="P87" s="8">
        <f>Table11232[[#This Row],[M (KN.mm)]]/(Table11232[[#This Row],[b (mm)]]*Table11232[[#This Row],[d (mm)]]*Table11232[[#This Row],[L(mm)]])</f>
        <v>1.5755384615384613E-3</v>
      </c>
      <c r="Q87" s="8">
        <f>Table11232[[#This Row],[M (KN.mm)]]/(Table11232[[#This Row],[b (mm)]]*Table11232[[#This Row],[h (mm)]]*Table11232[[#This Row],[L(mm)]]*Table11232[[#This Row],[fc (Mpa)]])</f>
        <v>1.5891206896551721E-5</v>
      </c>
      <c r="R87" s="8">
        <f>Table11232[[#This Row],[M (KN.mm)]]/(Table11232[[#This Row],[b (mm)]]*Table11232[[#This Row],[h (mm)]]*Table11232[[#This Row],[L(mm)]]/2)</f>
        <v>2.7650699999999997E-3</v>
      </c>
      <c r="S87" s="8">
        <f>Table11232[[#This Row],[M (KN.mm)]]/(Table11232[[#This Row],[a (mm)]]*Table11232[[#This Row],[b (mm)]]*Table11232[[#This Row],[h (mm)]]*Table11232[[#This Row],[L(mm)]]/2)</f>
        <v>2.5576923076923074E-6</v>
      </c>
      <c r="T87" s="8">
        <f>G87/($AN$5*AK87*0.001*Table11232[[#This Row],[pho (%)]])</f>
        <v>3.4235515821215209E-6</v>
      </c>
      <c r="U87" s="8">
        <f>Table11232[[#This Row],[M (KN.mm)]]/(Table11232[[#This Row],[b (mm)]]*Table11232[[#This Row],[d (mm)]]*Table11232[[#This Row],[pho (%)]])</f>
        <v>1.3700334448160532</v>
      </c>
      <c r="V87" s="8">
        <f>E87*224.8/(2*SQRT(Table11232[[#This Row],[fc (Mpa)]]*145.037)*Table11232[[#This Row],[b (mm)]]*Table11232[[#This Row],[d (mm)]]*(1/25.4)^2)</f>
        <v>2.44612833652933</v>
      </c>
      <c r="W87" s="8">
        <f>Table11232[[#This Row],[M (KN.mm)]]/$G$87</f>
        <v>1</v>
      </c>
      <c r="X87" s="8">
        <f>E87*224.8/(2*SQRT(Table11232[[#This Row],[fc (Mpa)]]*145.037)*Table11232[[#This Row],[b (mm)]]*Table11232[[#This Row],[d (mm)]]*(1/25.4)^2+Table11232[[#This Row],[Av fy d/s (N)]]*0.2248)</f>
        <v>1.3341928853277609</v>
      </c>
      <c r="Y87" s="15">
        <v>1.2909999999999999</v>
      </c>
      <c r="Z87" s="8">
        <f>Table11232[[#This Row],[Av fy/(b S) (Mpa)]]*Table11232[[#This Row],[d (mm)]]*Table11232[[#This Row],[b (mm)]]</f>
        <v>90628.2</v>
      </c>
      <c r="AA87" s="8">
        <f>Table11232[[#This Row],[d (mm)]]/260</f>
        <v>1.35</v>
      </c>
      <c r="AB87" s="8">
        <f>Table11232[[#This Row],[a/d]]*Table11232[[#This Row],[d]]</f>
        <v>1081.08</v>
      </c>
      <c r="AC87" s="8">
        <f>Table11232[[#This Row],[d]]</f>
        <v>351</v>
      </c>
      <c r="AD87" s="8">
        <v>400</v>
      </c>
      <c r="AE87" s="5">
        <v>200</v>
      </c>
      <c r="AF87" s="1">
        <v>87</v>
      </c>
      <c r="AG87" s="8">
        <f>Table11232[[#This Row],[pho (%)]]/100*Table11232[[#This Row],[b (mm)]]*Table11232[[#This Row],[d (mm)]]</f>
        <v>2098.98</v>
      </c>
      <c r="AH87" s="1">
        <v>2.99</v>
      </c>
      <c r="AI87" s="8">
        <v>500</v>
      </c>
      <c r="AJ87" s="8">
        <f>(1/3-0.21*(MIN(Table11232[[#This Row],[b (mm)]],AD87)/MAX(Table11232[[#This Row],[b (mm)]],AD87))*(MIN(Table11232[[#This Row],[b (mm)]],AD87)^4/(12*MAX(Table11232[[#This Row],[b (mm)]],AD87)^4)))*MAX(Table11232[[#This Row],[b (mm)]],AD87)*MIN(Table11232[[#This Row],[b (mm)]],AD87)^3</f>
        <v>1064916666.6666665</v>
      </c>
      <c r="AK87" s="8">
        <f>Table11232[[#This Row],[b (mm)]]*AD87^3/12</f>
        <v>1066666666.6666666</v>
      </c>
      <c r="AL87" s="8">
        <v>2600</v>
      </c>
      <c r="AM87" s="14"/>
      <c r="AN87" s="22"/>
      <c r="AO87" s="13"/>
      <c r="AP87" s="13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Q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46"/>
  <sheetViews>
    <sheetView zoomScaleNormal="100" workbookViewId="0">
      <selection activeCell="T9" sqref="T9"/>
    </sheetView>
  </sheetViews>
  <sheetFormatPr defaultRowHeight="15" x14ac:dyDescent="0.25"/>
  <cols>
    <col min="1" max="1" width="10.7109375" style="2" customWidth="1"/>
    <col min="2" max="2" width="7" style="2" customWidth="1"/>
    <col min="3" max="3" width="7.42578125" style="2" customWidth="1"/>
    <col min="4" max="4" width="15" style="2" customWidth="1"/>
    <col min="5" max="5" width="10.85546875" style="2" customWidth="1"/>
    <col min="6" max="6" width="12.85546875" style="2" customWidth="1"/>
    <col min="7" max="7" width="12" style="2" customWidth="1"/>
    <col min="8" max="8" width="10.5703125" style="2" customWidth="1"/>
    <col min="9" max="9" width="10.85546875" style="2" customWidth="1"/>
    <col min="10" max="10" width="13.140625" style="2" customWidth="1"/>
    <col min="11" max="11" width="8.85546875" style="2" customWidth="1"/>
    <col min="12" max="12" width="8.42578125" style="2" customWidth="1"/>
    <col min="13" max="17" width="10" style="2" customWidth="1"/>
    <col min="18" max="21" width="14.7109375" style="2" customWidth="1"/>
    <col min="22" max="22" width="17.42578125" style="2" customWidth="1"/>
    <col min="23" max="23" width="17.85546875" style="2" customWidth="1"/>
    <col min="24" max="24" width="25.85546875" style="2" customWidth="1"/>
    <col min="25" max="27" width="17.85546875" style="2" customWidth="1"/>
    <col min="28" max="28" width="9.42578125" style="2" customWidth="1"/>
    <col min="29" max="30" width="9.5703125" style="2" customWidth="1"/>
    <col min="31" max="31" width="10.7109375" style="2" customWidth="1"/>
    <col min="32" max="32" width="9.85546875" style="2" customWidth="1"/>
    <col min="33" max="33" width="12.5703125" style="2" customWidth="1"/>
    <col min="34" max="34" width="11.7109375" style="2" customWidth="1"/>
    <col min="35" max="35" width="11" style="2" customWidth="1"/>
    <col min="36" max="36" width="12.42578125" style="2" customWidth="1"/>
    <col min="37" max="38" width="14.28515625" style="2" customWidth="1"/>
    <col min="39" max="39" width="15.28515625" style="2" customWidth="1"/>
    <col min="40" max="40" width="15.7109375" style="2" customWidth="1"/>
    <col min="41" max="42" width="9.140625" style="1"/>
    <col min="43" max="16384" width="9.140625" style="2"/>
  </cols>
  <sheetData>
    <row r="1" spans="1:42" ht="80.25" customHeight="1" x14ac:dyDescent="0.25">
      <c r="A1" s="4" t="s">
        <v>25</v>
      </c>
      <c r="B1" s="4" t="s">
        <v>23</v>
      </c>
      <c r="C1" s="4" t="s">
        <v>24</v>
      </c>
      <c r="D1" s="4" t="s">
        <v>40</v>
      </c>
      <c r="E1" s="3" t="s">
        <v>19</v>
      </c>
      <c r="F1" s="4" t="s">
        <v>26</v>
      </c>
      <c r="G1" s="3" t="s">
        <v>18</v>
      </c>
      <c r="H1" s="3" t="s">
        <v>0</v>
      </c>
      <c r="I1" s="3" t="s">
        <v>9</v>
      </c>
      <c r="J1" s="3" t="s">
        <v>10</v>
      </c>
      <c r="K1" s="3" t="s">
        <v>16</v>
      </c>
      <c r="L1" s="3" t="s">
        <v>15</v>
      </c>
      <c r="M1" s="3" t="s">
        <v>21</v>
      </c>
      <c r="N1" s="3" t="s">
        <v>22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158</v>
      </c>
      <c r="U1" s="3" t="s">
        <v>38</v>
      </c>
      <c r="V1" s="3" t="s">
        <v>44</v>
      </c>
      <c r="W1" s="3" t="s">
        <v>39</v>
      </c>
      <c r="X1" s="26" t="s">
        <v>111</v>
      </c>
      <c r="Y1" s="26" t="s">
        <v>108</v>
      </c>
      <c r="Z1" s="26" t="s">
        <v>110</v>
      </c>
      <c r="AA1" s="55" t="s">
        <v>109</v>
      </c>
      <c r="AB1" s="3" t="s">
        <v>1</v>
      </c>
      <c r="AC1" s="3" t="s">
        <v>5</v>
      </c>
      <c r="AD1" s="3" t="s">
        <v>8</v>
      </c>
      <c r="AE1" s="3" t="s">
        <v>28</v>
      </c>
      <c r="AF1" s="3" t="s">
        <v>29</v>
      </c>
      <c r="AG1" s="3" t="s">
        <v>6</v>
      </c>
      <c r="AH1" s="3" t="s">
        <v>7</v>
      </c>
      <c r="AI1" s="3" t="s">
        <v>14</v>
      </c>
      <c r="AJ1" s="3" t="s">
        <v>11</v>
      </c>
      <c r="AK1" s="3" t="s">
        <v>13</v>
      </c>
      <c r="AL1" s="3" t="s">
        <v>30</v>
      </c>
      <c r="AM1" s="1" t="s">
        <v>20</v>
      </c>
      <c r="AN1" s="1" t="s">
        <v>27</v>
      </c>
      <c r="AO1" s="1" t="s">
        <v>32</v>
      </c>
      <c r="AP1" s="1" t="s">
        <v>37</v>
      </c>
    </row>
    <row r="2" spans="1:42" x14ac:dyDescent="0.25">
      <c r="A2" s="27" t="s">
        <v>120</v>
      </c>
      <c r="B2" s="27">
        <v>1</v>
      </c>
      <c r="C2" s="3">
        <v>1</v>
      </c>
      <c r="D2" s="64">
        <f>2700/Table112324[[#This Row],[d]]</f>
        <v>2.9189189189189189</v>
      </c>
      <c r="E2" s="3">
        <v>100</v>
      </c>
      <c r="F2" s="3">
        <v>925</v>
      </c>
      <c r="G2" s="8">
        <f>E2*AB2</f>
        <v>270000</v>
      </c>
      <c r="H2" s="8">
        <f>G2/($AN$5*AK2*0.001)</f>
        <v>4.1007290375963282E-7</v>
      </c>
      <c r="I2" s="8">
        <f>G2/(Table112324[[#This Row],[b (mm)]]*AC2^2)</f>
        <v>1.051862673484295E-3</v>
      </c>
      <c r="J2" s="8">
        <f>G2/(AG2*AI2*AC2*0.001)</f>
        <v>0.27244681762440298</v>
      </c>
      <c r="K2" s="8">
        <f>E2/($AN$4*AJ2*0.001)</f>
        <v>3.5390219082712568E-7</v>
      </c>
      <c r="L2" s="8">
        <f>E2/(Table112324[[#This Row],[b (mm)]]*AC2)</f>
        <v>3.6036036036036037E-4</v>
      </c>
      <c r="M2" s="8">
        <f>Table112324[[#This Row],[M (KN.mm)]]/(Table112324[[#This Row],[b (mm)]]*Table112324[[#This Row],[d (mm)]])</f>
        <v>0.97297297297297303</v>
      </c>
      <c r="N2" s="8">
        <f>Table112324[[#This Row],[M (KN.mm)]]/(Table112324[[#This Row],[b (mm)]]*Table112324[[#This Row],[h (mm)]])</f>
        <v>0.9</v>
      </c>
      <c r="O2" s="8">
        <f>Table112324[[#This Row],[M (KN.mm)]]/(Table112324[[#This Row],[b (mm)]]*Table112324[[#This Row],[h (mm)]]*Table112324[[#This Row],[L(mm)]])</f>
        <v>1.4999999999999999E-4</v>
      </c>
      <c r="P2" s="8">
        <f>Table112324[[#This Row],[M (KN.mm)]]/(Table112324[[#This Row],[b (mm)]]*Table112324[[#This Row],[d (mm)]]*Table112324[[#This Row],[L(mm)]])</f>
        <v>1.6216216216216215E-4</v>
      </c>
      <c r="Q2" s="8">
        <f>Table112324[[#This Row],[M (KN.mm)]]/(Table112324[[#This Row],[b (mm)]]*Table112324[[#This Row],[h (mm)]]*Table112324[[#This Row],[L(mm)]]*Table112324[[#This Row],[fc (Mpa)]])</f>
        <v>3.2608695652173914E-6</v>
      </c>
      <c r="R2" s="8">
        <f>Table112324[[#This Row],[M (KN.mm)]]/(Table112324[[#This Row],[b (mm)]]*Table112324[[#This Row],[h (mm)]]*Table112324[[#This Row],[L(mm)]]/2)</f>
        <v>2.9999999999999997E-4</v>
      </c>
      <c r="S2" s="8">
        <f>Table112324[[#This Row],[M (KN.mm)]]/(Table112324[[#This Row],[a (mm)]]*Table112324[[#This Row],[b (mm)]]*Table112324[[#This Row],[h (mm)]]*Table112324[[#This Row],[L(mm)]]/2)</f>
        <v>1.1111111111111111E-7</v>
      </c>
      <c r="T2" s="8">
        <f>G2/($AN$5*AK2*0.001*Table112324[[#This Row],[pho (%)]])</f>
        <v>5.3956961021004318E-7</v>
      </c>
      <c r="U2" s="8">
        <f>Table112324[[#This Row],[M (KN.mm)]]/(Table112324[[#This Row],[b (mm)]]*Table112324[[#This Row],[d (mm)]]*Table112324[[#This Row],[pho (%)]])</f>
        <v>1.2802275960170697</v>
      </c>
      <c r="V2" s="8">
        <f>E2*224.8/(2*SQRT(Table112324[[#This Row],[fc (Mpa)]]*145.037)*Table112324[[#This Row],[b (mm)]]*Table112324[[#This Row],[d (mm)]]*(1/25.4)^2)</f>
        <v>0.3199281370720421</v>
      </c>
      <c r="W2" s="8">
        <f>Table112324[[#This Row],[M (KN.mm)]]/$G$6</f>
        <v>0.29761904761904762</v>
      </c>
      <c r="X2" s="8">
        <f>E2*224.8/(2*SQRT(Table112324[[#This Row],[fc (Mpa)]]*145.037)*Table112324[[#This Row],[b (mm)]]*Table112324[[#This Row],[d (mm)]]*(1/25.4)^2+Table112324[[#This Row],[Av fy d/s (N)]]*0.2248)</f>
        <v>0.23577943805121959</v>
      </c>
      <c r="Y2" s="8">
        <v>0.40200000000000002</v>
      </c>
      <c r="Z2" s="8">
        <f>Table112324[[#This Row],[Av fy/(b S) (Mpa)]]*Table112324[[#This Row],[d (mm)]]*Table112324[[#This Row],[b (mm)]]</f>
        <v>111555</v>
      </c>
      <c r="AA2" s="8">
        <f>Table112324[[#This Row],[d (mm)]]/600</f>
        <v>1.5416666666666667</v>
      </c>
      <c r="AB2" s="8">
        <f>Table112324[[#This Row],[a/d]]*Table112324[[#This Row],[d]]</f>
        <v>2700</v>
      </c>
      <c r="AC2" s="8">
        <f>Table112324[[#This Row],[d]]</f>
        <v>925</v>
      </c>
      <c r="AD2" s="8">
        <v>1000</v>
      </c>
      <c r="AE2" s="5">
        <v>300</v>
      </c>
      <c r="AF2" s="5">
        <v>46</v>
      </c>
      <c r="AG2" s="8">
        <f>Table112324[[#This Row],[pho (%)]]/100*Table112324[[#This Row],[b (mm)]]*Table112324[[#This Row],[d (mm)]]</f>
        <v>2109</v>
      </c>
      <c r="AH2" s="8">
        <v>0.76</v>
      </c>
      <c r="AI2" s="8">
        <v>508</v>
      </c>
      <c r="AJ2" s="8">
        <f>(1/3-0.21*(MIN(Table112324[[#This Row],[b (mm)]],AD2)/MAX(Table112324[[#This Row],[b (mm)]],AD2))*(MIN(Table112324[[#This Row],[b (mm)]],AD2)^4/(12*MAX(Table112324[[#This Row],[b (mm)]],AD2)^4)))*MAX(Table112324[[#This Row],[b (mm)]],AD2)*MIN(Table112324[[#This Row],[b (mm)]],AD2)^3</f>
        <v>8998851825</v>
      </c>
      <c r="AK2" s="8">
        <f>Table112324[[#This Row],[b (mm)]]*AD2^3/12</f>
        <v>25000000000</v>
      </c>
      <c r="AL2" s="8">
        <v>6000</v>
      </c>
      <c r="AM2" s="12" t="s">
        <v>17</v>
      </c>
      <c r="AN2" s="6">
        <v>1250</v>
      </c>
    </row>
    <row r="3" spans="1:42" x14ac:dyDescent="0.25">
      <c r="A3" s="27" t="s">
        <v>120</v>
      </c>
      <c r="B3" s="27">
        <v>2</v>
      </c>
      <c r="C3" s="3">
        <v>2</v>
      </c>
      <c r="D3" s="64">
        <f>2700/Table112324[[#This Row],[d]]</f>
        <v>2.9189189189189189</v>
      </c>
      <c r="E3" s="3">
        <v>200</v>
      </c>
      <c r="F3" s="3">
        <v>925</v>
      </c>
      <c r="G3" s="8">
        <f>E3*AB3</f>
        <v>540000</v>
      </c>
      <c r="H3" s="8">
        <f>G3/($AN$5*AK3*0.001)</f>
        <v>8.2014580751926564E-7</v>
      </c>
      <c r="I3" s="8">
        <f>G3/(Table112324[[#This Row],[b (mm)]]*AC3^2)</f>
        <v>2.10372534696859E-3</v>
      </c>
      <c r="J3" s="8">
        <f>G3/(AG3*AI3*AC3*0.001)</f>
        <v>0.54489363524880596</v>
      </c>
      <c r="K3" s="8">
        <f>E3/($AN$4*AJ3*0.001)</f>
        <v>7.0780438165425135E-7</v>
      </c>
      <c r="L3" s="8">
        <f>E3/(Table112324[[#This Row],[b (mm)]]*AC3)</f>
        <v>7.2072072072072073E-4</v>
      </c>
      <c r="M3" s="8">
        <f>Table112324[[#This Row],[M (KN.mm)]]/(Table112324[[#This Row],[b (mm)]]*Table112324[[#This Row],[d (mm)]])</f>
        <v>1.9459459459459461</v>
      </c>
      <c r="N3" s="8">
        <f>Table112324[[#This Row],[M (KN.mm)]]/(Table112324[[#This Row],[b (mm)]]*Table112324[[#This Row],[h (mm)]])</f>
        <v>1.8</v>
      </c>
      <c r="O3" s="8">
        <f>Table112324[[#This Row],[M (KN.mm)]]/(Table112324[[#This Row],[b (mm)]]*Table112324[[#This Row],[h (mm)]]*Table112324[[#This Row],[L(mm)]])</f>
        <v>2.9999999999999997E-4</v>
      </c>
      <c r="P3" s="8">
        <f>Table112324[[#This Row],[M (KN.mm)]]/(Table112324[[#This Row],[b (mm)]]*Table112324[[#This Row],[d (mm)]]*Table112324[[#This Row],[L(mm)]])</f>
        <v>3.2432432432432431E-4</v>
      </c>
      <c r="Q3" s="8">
        <f>Table112324[[#This Row],[M (KN.mm)]]/(Table112324[[#This Row],[b (mm)]]*Table112324[[#This Row],[h (mm)]]*Table112324[[#This Row],[L(mm)]]*Table112324[[#This Row],[fc (Mpa)]])</f>
        <v>6.5217391304347829E-6</v>
      </c>
      <c r="R3" s="8">
        <f>Table112324[[#This Row],[M (KN.mm)]]/(Table112324[[#This Row],[b (mm)]]*Table112324[[#This Row],[h (mm)]]*Table112324[[#This Row],[L(mm)]]/2)</f>
        <v>5.9999999999999995E-4</v>
      </c>
      <c r="S3" s="8">
        <f>Table112324[[#This Row],[M (KN.mm)]]/(Table112324[[#This Row],[a (mm)]]*Table112324[[#This Row],[b (mm)]]*Table112324[[#This Row],[h (mm)]]*Table112324[[#This Row],[L(mm)]]/2)</f>
        <v>2.2222222222222222E-7</v>
      </c>
      <c r="T3" s="8">
        <f>G3/($AN$5*AK3*0.001*Table112324[[#This Row],[pho (%)]])</f>
        <v>1.0791392204200864E-6</v>
      </c>
      <c r="U3" s="8">
        <f>Table112324[[#This Row],[M (KN.mm)]]/(Table112324[[#This Row],[b (mm)]]*Table112324[[#This Row],[d (mm)]]*Table112324[[#This Row],[pho (%)]])</f>
        <v>2.5604551920341394</v>
      </c>
      <c r="V3" s="8">
        <f>E3*224.8/(2*SQRT(Table112324[[#This Row],[fc (Mpa)]]*145.037)*Table112324[[#This Row],[b (mm)]]*Table112324[[#This Row],[d (mm)]]*(1/25.4)^2)</f>
        <v>0.63985627414408419</v>
      </c>
      <c r="W3" s="8">
        <f>Table112324[[#This Row],[M (KN.mm)]]/$G$6</f>
        <v>0.59523809523809523</v>
      </c>
      <c r="X3" s="8">
        <f>E3*224.8/(2*SQRT(Table112324[[#This Row],[fc (Mpa)]]*145.037)*Table112324[[#This Row],[b (mm)]]*Table112324[[#This Row],[d (mm)]]*(1/25.4)^2+Table112324[[#This Row],[Av fy d/s (N)]]*0.2248)</f>
        <v>0.47155887610243918</v>
      </c>
      <c r="Y3" s="8">
        <v>0.40200000000000002</v>
      </c>
      <c r="Z3" s="8">
        <f>Table112324[[#This Row],[Av fy/(b S) (Mpa)]]*Table112324[[#This Row],[d (mm)]]*Table112324[[#This Row],[b (mm)]]</f>
        <v>111555</v>
      </c>
      <c r="AA3" s="8">
        <f>Table112324[[#This Row],[d (mm)]]/600</f>
        <v>1.5416666666666667</v>
      </c>
      <c r="AB3" s="8">
        <f>Table112324[[#This Row],[a/d]]*Table112324[[#This Row],[d]]</f>
        <v>2700</v>
      </c>
      <c r="AC3" s="8">
        <f>Table112324[[#This Row],[d]]</f>
        <v>925</v>
      </c>
      <c r="AD3" s="8">
        <v>1000</v>
      </c>
      <c r="AE3" s="5">
        <v>300</v>
      </c>
      <c r="AF3" s="5">
        <v>46</v>
      </c>
      <c r="AG3" s="8">
        <f>Table112324[[#This Row],[pho (%)]]/100*Table112324[[#This Row],[b (mm)]]*Table112324[[#This Row],[d (mm)]]</f>
        <v>2109</v>
      </c>
      <c r="AH3" s="8">
        <v>0.76</v>
      </c>
      <c r="AI3" s="8">
        <v>508</v>
      </c>
      <c r="AJ3" s="8">
        <f>(1/3-0.21*(MIN(Table112324[[#This Row],[b (mm)]],AD3)/MAX(Table112324[[#This Row],[b (mm)]],AD3))*(MIN(Table112324[[#This Row],[b (mm)]],AD3)^4/(12*MAX(Table112324[[#This Row],[b (mm)]],AD3)^4)))*MAX(Table112324[[#This Row],[b (mm)]],AD3)*MIN(Table112324[[#This Row],[b (mm)]],AD3)^3</f>
        <v>8998851825</v>
      </c>
      <c r="AK3" s="8">
        <f>Table112324[[#This Row],[b (mm)]]*AD3^3/12</f>
        <v>25000000000</v>
      </c>
      <c r="AL3" s="8">
        <v>6000</v>
      </c>
      <c r="AM3" s="12" t="s">
        <v>2</v>
      </c>
      <c r="AN3" s="6">
        <v>200</v>
      </c>
    </row>
    <row r="4" spans="1:42" x14ac:dyDescent="0.25">
      <c r="A4" s="27" t="s">
        <v>120</v>
      </c>
      <c r="B4" s="27">
        <v>3</v>
      </c>
      <c r="C4" s="3">
        <v>3</v>
      </c>
      <c r="D4" s="64">
        <f>2700/Table112324[[#This Row],[d]]</f>
        <v>2.9189189189189189</v>
      </c>
      <c r="E4" s="3">
        <v>250</v>
      </c>
      <c r="F4" s="3">
        <v>925</v>
      </c>
      <c r="G4" s="8">
        <f>E4*AB4</f>
        <v>675000</v>
      </c>
      <c r="H4" s="8">
        <f>G4/($AN$5*AK4*0.001)</f>
        <v>1.025182259399082E-6</v>
      </c>
      <c r="I4" s="8">
        <f>G4/(Table112324[[#This Row],[b (mm)]]*AC4^2)</f>
        <v>2.6296566837107379E-3</v>
      </c>
      <c r="J4" s="8">
        <f>G4/(AG4*AI4*AC4*0.001)</f>
        <v>0.68111704406100748</v>
      </c>
      <c r="K4" s="8">
        <f>E4/($AN$4*AJ4*0.001)</f>
        <v>8.8475547706781425E-7</v>
      </c>
      <c r="L4" s="8">
        <f>E4/(Table112324[[#This Row],[b (mm)]]*AC4)</f>
        <v>9.0090090090090091E-4</v>
      </c>
      <c r="M4" s="8">
        <f>Table112324[[#This Row],[M (KN.mm)]]/(Table112324[[#This Row],[b (mm)]]*Table112324[[#This Row],[d (mm)]])</f>
        <v>2.4324324324324325</v>
      </c>
      <c r="N4" s="8">
        <f>Table112324[[#This Row],[M (KN.mm)]]/(Table112324[[#This Row],[b (mm)]]*Table112324[[#This Row],[h (mm)]])</f>
        <v>2.25</v>
      </c>
      <c r="O4" s="8">
        <f>Table112324[[#This Row],[M (KN.mm)]]/(Table112324[[#This Row],[b (mm)]]*Table112324[[#This Row],[h (mm)]]*Table112324[[#This Row],[L(mm)]])</f>
        <v>3.7500000000000001E-4</v>
      </c>
      <c r="P4" s="8">
        <f>Table112324[[#This Row],[M (KN.mm)]]/(Table112324[[#This Row],[b (mm)]]*Table112324[[#This Row],[d (mm)]]*Table112324[[#This Row],[L(mm)]])</f>
        <v>4.0540540540540538E-4</v>
      </c>
      <c r="Q4" s="8">
        <f>Table112324[[#This Row],[M (KN.mm)]]/(Table112324[[#This Row],[b (mm)]]*Table112324[[#This Row],[h (mm)]]*Table112324[[#This Row],[L(mm)]]*Table112324[[#This Row],[fc (Mpa)]])</f>
        <v>8.1521739130434775E-6</v>
      </c>
      <c r="R4" s="8">
        <f>Table112324[[#This Row],[M (KN.mm)]]/(Table112324[[#This Row],[b (mm)]]*Table112324[[#This Row],[h (mm)]]*Table112324[[#This Row],[L(mm)]]/2)</f>
        <v>7.5000000000000002E-4</v>
      </c>
      <c r="S4" s="8">
        <f>Table112324[[#This Row],[M (KN.mm)]]/(Table112324[[#This Row],[a (mm)]]*Table112324[[#This Row],[b (mm)]]*Table112324[[#This Row],[h (mm)]]*Table112324[[#This Row],[L(mm)]]/2)</f>
        <v>2.7777777777777776E-7</v>
      </c>
      <c r="T4" s="8">
        <f>G4/($AN$5*AK4*0.001*Table112324[[#This Row],[pho (%)]])</f>
        <v>1.348924025525108E-6</v>
      </c>
      <c r="U4" s="8">
        <f>Table112324[[#This Row],[M (KN.mm)]]/(Table112324[[#This Row],[b (mm)]]*Table112324[[#This Row],[d (mm)]]*Table112324[[#This Row],[pho (%)]])</f>
        <v>3.2005689900426741</v>
      </c>
      <c r="V4" s="8">
        <f>E4*224.8/(2*SQRT(Table112324[[#This Row],[fc (Mpa)]]*145.037)*Table112324[[#This Row],[b (mm)]]*Table112324[[#This Row],[d (mm)]]*(1/25.4)^2)</f>
        <v>0.79982034268010516</v>
      </c>
      <c r="W4" s="8">
        <f>Table112324[[#This Row],[M (KN.mm)]]/$G$6</f>
        <v>0.74404761904761907</v>
      </c>
      <c r="X4" s="8">
        <f>E4*224.8/(2*SQRT(Table112324[[#This Row],[fc (Mpa)]]*145.037)*Table112324[[#This Row],[b (mm)]]*Table112324[[#This Row],[d (mm)]]*(1/25.4)^2+Table112324[[#This Row],[Av fy d/s (N)]]*0.2248)</f>
        <v>0.58944859512804904</v>
      </c>
      <c r="Y4" s="8">
        <v>0.40200000000000002</v>
      </c>
      <c r="Z4" s="8">
        <f>Table112324[[#This Row],[Av fy/(b S) (Mpa)]]*Table112324[[#This Row],[d (mm)]]*Table112324[[#This Row],[b (mm)]]</f>
        <v>111555</v>
      </c>
      <c r="AA4" s="8">
        <f>Table112324[[#This Row],[d (mm)]]/600</f>
        <v>1.5416666666666667</v>
      </c>
      <c r="AB4" s="8">
        <f>Table112324[[#This Row],[a/d]]*Table112324[[#This Row],[d]]</f>
        <v>2700</v>
      </c>
      <c r="AC4" s="8">
        <f>Table112324[[#This Row],[d]]</f>
        <v>925</v>
      </c>
      <c r="AD4" s="8">
        <v>1000</v>
      </c>
      <c r="AE4" s="5">
        <v>300</v>
      </c>
      <c r="AF4" s="5">
        <v>46</v>
      </c>
      <c r="AG4" s="8">
        <f>Table112324[[#This Row],[pho (%)]]/100*Table112324[[#This Row],[b (mm)]]*Table112324[[#This Row],[d (mm)]]</f>
        <v>2109</v>
      </c>
      <c r="AH4" s="8">
        <v>0.76</v>
      </c>
      <c r="AI4" s="8">
        <v>508</v>
      </c>
      <c r="AJ4" s="8">
        <f>(1/3-0.21*(MIN(Table112324[[#This Row],[b (mm)]],AD4)/MAX(Table112324[[#This Row],[b (mm)]],AD4))*(MIN(Table112324[[#This Row],[b (mm)]],AD4)^4/(12*MAX(Table112324[[#This Row],[b (mm)]],AD4)^4)))*MAX(Table112324[[#This Row],[b (mm)]],AD4)*MIN(Table112324[[#This Row],[b (mm)]],AD4)^3</f>
        <v>8998851825</v>
      </c>
      <c r="AK4" s="8">
        <f>Table112324[[#This Row],[b (mm)]]*AD4^3/12</f>
        <v>25000000000</v>
      </c>
      <c r="AL4" s="8">
        <v>6000</v>
      </c>
      <c r="AM4" s="12" t="s">
        <v>3</v>
      </c>
      <c r="AN4" s="6">
        <v>31.4</v>
      </c>
    </row>
    <row r="5" spans="1:42" x14ac:dyDescent="0.25">
      <c r="A5" s="27" t="s">
        <v>120</v>
      </c>
      <c r="B5" s="27">
        <v>4</v>
      </c>
      <c r="C5" s="3">
        <v>4</v>
      </c>
      <c r="D5" s="64">
        <f>2700/Table112324[[#This Row],[d]]</f>
        <v>2.9189189189189189</v>
      </c>
      <c r="E5" s="3">
        <v>300</v>
      </c>
      <c r="F5" s="3">
        <v>925</v>
      </c>
      <c r="G5" s="8">
        <f>E5*AB5</f>
        <v>810000</v>
      </c>
      <c r="H5" s="8">
        <f>G5/($AN$5*AK5*0.001)</f>
        <v>1.2302187112788984E-6</v>
      </c>
      <c r="I5" s="8">
        <f>G5/(Table112324[[#This Row],[b (mm)]]*AC5^2)</f>
        <v>3.1555880204528854E-3</v>
      </c>
      <c r="J5" s="8">
        <f>G5/(AG5*AI5*AC5*0.001)</f>
        <v>0.817340452873209</v>
      </c>
      <c r="K5" s="8">
        <f>E5/($AN$4*AJ5*0.001)</f>
        <v>1.0617065724813771E-6</v>
      </c>
      <c r="L5" s="8">
        <f>E5/(Table112324[[#This Row],[b (mm)]]*AC5)</f>
        <v>1.0810810810810811E-3</v>
      </c>
      <c r="M5" s="8">
        <f>Table112324[[#This Row],[M (KN.mm)]]/(Table112324[[#This Row],[b (mm)]]*Table112324[[#This Row],[d (mm)]])</f>
        <v>2.9189189189189189</v>
      </c>
      <c r="N5" s="8">
        <f>Table112324[[#This Row],[M (KN.mm)]]/(Table112324[[#This Row],[b (mm)]]*Table112324[[#This Row],[h (mm)]])</f>
        <v>2.7</v>
      </c>
      <c r="O5" s="8">
        <f>Table112324[[#This Row],[M (KN.mm)]]/(Table112324[[#This Row],[b (mm)]]*Table112324[[#This Row],[h (mm)]]*Table112324[[#This Row],[L(mm)]])</f>
        <v>4.4999999999999999E-4</v>
      </c>
      <c r="P5" s="8">
        <f>Table112324[[#This Row],[M (KN.mm)]]/(Table112324[[#This Row],[b (mm)]]*Table112324[[#This Row],[d (mm)]]*Table112324[[#This Row],[L(mm)]])</f>
        <v>4.8648648648648646E-4</v>
      </c>
      <c r="Q5" s="8">
        <f>Table112324[[#This Row],[M (KN.mm)]]/(Table112324[[#This Row],[b (mm)]]*Table112324[[#This Row],[h (mm)]]*Table112324[[#This Row],[L(mm)]]*Table112324[[#This Row],[fc (Mpa)]])</f>
        <v>9.7826086956521748E-6</v>
      </c>
      <c r="R5" s="8">
        <f>Table112324[[#This Row],[M (KN.mm)]]/(Table112324[[#This Row],[b (mm)]]*Table112324[[#This Row],[h (mm)]]*Table112324[[#This Row],[L(mm)]]/2)</f>
        <v>8.9999999999999998E-4</v>
      </c>
      <c r="S5" s="8">
        <f>Table112324[[#This Row],[M (KN.mm)]]/(Table112324[[#This Row],[a (mm)]]*Table112324[[#This Row],[b (mm)]]*Table112324[[#This Row],[h (mm)]]*Table112324[[#This Row],[L(mm)]]/2)</f>
        <v>3.3333333333333335E-7</v>
      </c>
      <c r="T5" s="8">
        <f>G5/($AN$5*AK5*0.001*Table112324[[#This Row],[pho (%)]])</f>
        <v>1.6187088306301295E-6</v>
      </c>
      <c r="U5" s="8">
        <f>Table112324[[#This Row],[M (KN.mm)]]/(Table112324[[#This Row],[b (mm)]]*Table112324[[#This Row],[d (mm)]]*Table112324[[#This Row],[pho (%)]])</f>
        <v>3.8406827880512089</v>
      </c>
      <c r="V5" s="8">
        <f>E5*224.8/(2*SQRT(Table112324[[#This Row],[fc (Mpa)]]*145.037)*Table112324[[#This Row],[b (mm)]]*Table112324[[#This Row],[d (mm)]]*(1/25.4)^2)</f>
        <v>0.95978441121612623</v>
      </c>
      <c r="W5" s="8">
        <f>Table112324[[#This Row],[M (KN.mm)]]/$G$6</f>
        <v>0.8928571428571429</v>
      </c>
      <c r="X5" s="8">
        <f>E5*224.8/(2*SQRT(Table112324[[#This Row],[fc (Mpa)]]*145.037)*Table112324[[#This Row],[b (mm)]]*Table112324[[#This Row],[d (mm)]]*(1/25.4)^2+Table112324[[#This Row],[Av fy d/s (N)]]*0.2248)</f>
        <v>0.70733831415365878</v>
      </c>
      <c r="Y5" s="8">
        <v>0.40200000000000002</v>
      </c>
      <c r="Z5" s="8">
        <f>Table112324[[#This Row],[Av fy/(b S) (Mpa)]]*Table112324[[#This Row],[d (mm)]]*Table112324[[#This Row],[b (mm)]]</f>
        <v>111555</v>
      </c>
      <c r="AA5" s="8">
        <f>Table112324[[#This Row],[d (mm)]]/600</f>
        <v>1.5416666666666667</v>
      </c>
      <c r="AB5" s="8">
        <f>Table112324[[#This Row],[a/d]]*Table112324[[#This Row],[d]]</f>
        <v>2700</v>
      </c>
      <c r="AC5" s="8">
        <f>Table112324[[#This Row],[d]]</f>
        <v>925</v>
      </c>
      <c r="AD5" s="8">
        <v>1000</v>
      </c>
      <c r="AE5" s="5">
        <v>300</v>
      </c>
      <c r="AF5" s="5">
        <v>46</v>
      </c>
      <c r="AG5" s="8">
        <f>Table112324[[#This Row],[pho (%)]]/100*Table112324[[#This Row],[b (mm)]]*Table112324[[#This Row],[d (mm)]]</f>
        <v>2109</v>
      </c>
      <c r="AH5" s="8">
        <v>0.76</v>
      </c>
      <c r="AI5" s="8">
        <v>508</v>
      </c>
      <c r="AJ5" s="8">
        <f>(1/3-0.21*(MIN(Table112324[[#This Row],[b (mm)]],AD5)/MAX(Table112324[[#This Row],[b (mm)]],AD5))*(MIN(Table112324[[#This Row],[b (mm)]],AD5)^4/(12*MAX(Table112324[[#This Row],[b (mm)]],AD5)^4)))*MAX(Table112324[[#This Row],[b (mm)]],AD5)*MIN(Table112324[[#This Row],[b (mm)]],AD5)^3</f>
        <v>8998851825</v>
      </c>
      <c r="AK5" s="8">
        <f>Table112324[[#This Row],[b (mm)]]*AD5^3/12</f>
        <v>25000000000</v>
      </c>
      <c r="AL5" s="8">
        <v>6000</v>
      </c>
      <c r="AM5" s="12" t="s">
        <v>4</v>
      </c>
      <c r="AN5" s="6">
        <f>4700*SQRT(AN4)</f>
        <v>26336.780365109171</v>
      </c>
    </row>
    <row r="6" spans="1:42" x14ac:dyDescent="0.25">
      <c r="A6" s="27" t="s">
        <v>120</v>
      </c>
      <c r="B6" s="27">
        <v>5</v>
      </c>
      <c r="C6" s="3">
        <v>5</v>
      </c>
      <c r="D6" s="64">
        <f>2700/Table112324[[#This Row],[d]]</f>
        <v>2.9189189189189189</v>
      </c>
      <c r="E6" s="3">
        <v>336</v>
      </c>
      <c r="F6" s="3">
        <v>925</v>
      </c>
      <c r="G6" s="8">
        <f>E6*AB6</f>
        <v>907200</v>
      </c>
      <c r="H6" s="8">
        <f>G6/($AN$5*AK6*0.001)</f>
        <v>1.3778449566323662E-6</v>
      </c>
      <c r="I6" s="8">
        <f>G6/(Table112324[[#This Row],[b (mm)]]*AC6^2)</f>
        <v>3.5342585829072314E-3</v>
      </c>
      <c r="J6" s="8">
        <f>G6/(AG6*AI6*AC6*0.001)</f>
        <v>0.91542130721799408</v>
      </c>
      <c r="K6" s="8">
        <f>E6/($AN$4*AJ6*0.001)</f>
        <v>1.1891113611791424E-6</v>
      </c>
      <c r="L6" s="8">
        <f>E6/(Table112324[[#This Row],[b (mm)]]*AC6)</f>
        <v>1.2108108108108107E-3</v>
      </c>
      <c r="M6" s="8">
        <f>Table112324[[#This Row],[M (KN.mm)]]/(Table112324[[#This Row],[b (mm)]]*Table112324[[#This Row],[d (mm)]])</f>
        <v>3.2691891891891891</v>
      </c>
      <c r="N6" s="8">
        <f>Table112324[[#This Row],[M (KN.mm)]]/(Table112324[[#This Row],[b (mm)]]*Table112324[[#This Row],[h (mm)]])</f>
        <v>3.024</v>
      </c>
      <c r="O6" s="8">
        <f>Table112324[[#This Row],[M (KN.mm)]]/(Table112324[[#This Row],[b (mm)]]*Table112324[[#This Row],[h (mm)]]*Table112324[[#This Row],[L(mm)]])</f>
        <v>5.04E-4</v>
      </c>
      <c r="P6" s="8">
        <f>Table112324[[#This Row],[M (KN.mm)]]/(Table112324[[#This Row],[b (mm)]]*Table112324[[#This Row],[d (mm)]]*Table112324[[#This Row],[L(mm)]])</f>
        <v>5.4486486486486488E-4</v>
      </c>
      <c r="Q6" s="8">
        <f>Table112324[[#This Row],[M (KN.mm)]]/(Table112324[[#This Row],[b (mm)]]*Table112324[[#This Row],[h (mm)]]*Table112324[[#This Row],[L(mm)]]*Table112324[[#This Row],[fc (Mpa)]])</f>
        <v>1.0956521739130435E-5</v>
      </c>
      <c r="R6" s="8">
        <f>Table112324[[#This Row],[M (KN.mm)]]/(Table112324[[#This Row],[b (mm)]]*Table112324[[#This Row],[h (mm)]]*Table112324[[#This Row],[L(mm)]]/2)</f>
        <v>1.008E-3</v>
      </c>
      <c r="S6" s="8">
        <f>Table112324[[#This Row],[M (KN.mm)]]/(Table112324[[#This Row],[a (mm)]]*Table112324[[#This Row],[b (mm)]]*Table112324[[#This Row],[h (mm)]]*Table112324[[#This Row],[L(mm)]]/2)</f>
        <v>3.7333333333333334E-7</v>
      </c>
      <c r="T6" s="8">
        <f>G6/($AN$5*AK6*0.001*Table112324[[#This Row],[pho (%)]])</f>
        <v>1.8129538903057451E-6</v>
      </c>
      <c r="U6" s="8">
        <f>Table112324[[#This Row],[M (KN.mm)]]/(Table112324[[#This Row],[b (mm)]]*Table112324[[#This Row],[d (mm)]]*Table112324[[#This Row],[pho (%)]])</f>
        <v>4.3015647226173543</v>
      </c>
      <c r="V6" s="8">
        <f>E6*224.8/(2*SQRT(Table112324[[#This Row],[fc (Mpa)]]*145.037)*Table112324[[#This Row],[b (mm)]]*Table112324[[#This Row],[d (mm)]]*(1/25.4)^2)</f>
        <v>1.0749585405620614</v>
      </c>
      <c r="W6" s="8">
        <f>Table112324[[#This Row],[M (KN.mm)]]/$G$6</f>
        <v>1</v>
      </c>
      <c r="X6" s="8">
        <f>E6*224.8/(2*SQRT(Table112324[[#This Row],[fc (Mpa)]]*145.037)*Table112324[[#This Row],[b (mm)]]*Table112324[[#This Row],[d (mm)]]*(1/25.4)^2+Table112324[[#This Row],[Av fy d/s (N)]]*0.2248)</f>
        <v>0.79221891185209792</v>
      </c>
      <c r="Y6" s="8">
        <v>0.40200000000000002</v>
      </c>
      <c r="Z6" s="8">
        <f>Table112324[[#This Row],[Av fy/(b S) (Mpa)]]*Table112324[[#This Row],[d (mm)]]*Table112324[[#This Row],[b (mm)]]</f>
        <v>111555</v>
      </c>
      <c r="AA6" s="8">
        <f>Table112324[[#This Row],[d (mm)]]/600</f>
        <v>1.5416666666666667</v>
      </c>
      <c r="AB6" s="8">
        <f>Table112324[[#This Row],[a/d]]*Table112324[[#This Row],[d]]</f>
        <v>2700</v>
      </c>
      <c r="AC6" s="8">
        <f>Table112324[[#This Row],[d]]</f>
        <v>925</v>
      </c>
      <c r="AD6" s="8">
        <v>1000</v>
      </c>
      <c r="AE6" s="5">
        <v>300</v>
      </c>
      <c r="AF6" s="5">
        <v>46</v>
      </c>
      <c r="AG6" s="8">
        <f>Table112324[[#This Row],[pho (%)]]/100*Table112324[[#This Row],[b (mm)]]*Table112324[[#This Row],[d (mm)]]</f>
        <v>2109</v>
      </c>
      <c r="AH6" s="8">
        <v>0.76</v>
      </c>
      <c r="AI6" s="8">
        <v>508</v>
      </c>
      <c r="AJ6" s="8">
        <f>(1/3-0.21*(MIN(Table112324[[#This Row],[b (mm)]],AD6)/MAX(Table112324[[#This Row],[b (mm)]],AD6))*(MIN(Table112324[[#This Row],[b (mm)]],AD6)^4/(12*MAX(Table112324[[#This Row],[b (mm)]],AD6)^4)))*MAX(Table112324[[#This Row],[b (mm)]],AD6)*MIN(Table112324[[#This Row],[b (mm)]],AD6)^3</f>
        <v>8998851825</v>
      </c>
      <c r="AK6" s="8">
        <f>Table112324[[#This Row],[b (mm)]]*AD6^3/12</f>
        <v>25000000000</v>
      </c>
      <c r="AL6" s="8">
        <v>6000</v>
      </c>
      <c r="AM6" s="12" t="s">
        <v>12</v>
      </c>
      <c r="AN6" s="6">
        <f>AN5/(2*(1+0.15))</f>
        <v>11450.774071786596</v>
      </c>
    </row>
    <row r="7" spans="1:42" customFormat="1" x14ac:dyDescent="0.25">
      <c r="A7" s="23" t="s">
        <v>121</v>
      </c>
      <c r="B7" s="15">
        <v>1</v>
      </c>
      <c r="C7" s="3">
        <v>6</v>
      </c>
      <c r="D7" s="64">
        <f>2700/Table112324[[#This Row],[d]]</f>
        <v>2.9189189189189189</v>
      </c>
      <c r="E7" s="15">
        <v>70</v>
      </c>
      <c r="F7" s="3">
        <v>925</v>
      </c>
      <c r="G7" s="8">
        <f t="shared" ref="G7:G12" si="0">E7*AB7</f>
        <v>189000</v>
      </c>
      <c r="H7" s="8">
        <f t="shared" ref="H7:H12" si="1">G7/($AN$5*AK7*0.001)</f>
        <v>2.8705103263174296E-7</v>
      </c>
      <c r="I7" s="8">
        <f>G7/(Table112324[[#This Row],[b (mm)]]*AC7^2)</f>
        <v>7.3630387143900657E-4</v>
      </c>
      <c r="J7" s="8">
        <f t="shared" ref="J7:J12" si="2">G7/(AG7*AI7*AC7*0.001)</f>
        <v>0.13803972092969749</v>
      </c>
      <c r="K7" s="8">
        <f t="shared" ref="K7:K12" si="3">E7/($AN$4*AJ7*0.001)</f>
        <v>2.4773153357898801E-7</v>
      </c>
      <c r="L7" s="8">
        <f>E7/(Table112324[[#This Row],[b (mm)]]*AC7)</f>
        <v>2.5225225225225225E-4</v>
      </c>
      <c r="M7" s="8">
        <f>Table112324[[#This Row],[M (KN.mm)]]/(Table112324[[#This Row],[b (mm)]]*Table112324[[#This Row],[d (mm)]])</f>
        <v>0.68108108108108112</v>
      </c>
      <c r="N7" s="8">
        <f>Table112324[[#This Row],[M (KN.mm)]]/(Table112324[[#This Row],[b (mm)]]*Table112324[[#This Row],[h (mm)]])</f>
        <v>0.63</v>
      </c>
      <c r="O7" s="8">
        <f>Table112324[[#This Row],[M (KN.mm)]]/(Table112324[[#This Row],[b (mm)]]*Table112324[[#This Row],[h (mm)]]*Table112324[[#This Row],[L(mm)]])</f>
        <v>1.05E-4</v>
      </c>
      <c r="P7" s="8">
        <f>Table112324[[#This Row],[M (KN.mm)]]/(Table112324[[#This Row],[b (mm)]]*Table112324[[#This Row],[d (mm)]]*Table112324[[#This Row],[L(mm)]])</f>
        <v>1.1351351351351351E-4</v>
      </c>
      <c r="Q7" s="8">
        <f>Table112324[[#This Row],[M (KN.mm)]]/(Table112324[[#This Row],[b (mm)]]*Table112324[[#This Row],[h (mm)]]*Table112324[[#This Row],[L(mm)]]*Table112324[[#This Row],[fc (Mpa)]])</f>
        <v>2.2826086956521737E-6</v>
      </c>
      <c r="R7" s="8">
        <f>Table112324[[#This Row],[M (KN.mm)]]/(Table112324[[#This Row],[b (mm)]]*Table112324[[#This Row],[h (mm)]]*Table112324[[#This Row],[L(mm)]]/2)</f>
        <v>2.1000000000000001E-4</v>
      </c>
      <c r="S7" s="8">
        <f>Table112324[[#This Row],[M (KN.mm)]]/(Table112324[[#This Row],[a (mm)]]*Table112324[[#This Row],[b (mm)]]*Table112324[[#This Row],[h (mm)]]*Table112324[[#This Row],[L(mm)]]/2)</f>
        <v>7.7777777777777782E-8</v>
      </c>
      <c r="T7" s="8">
        <f>G7/($AN$5*AK7*0.001*Table112324[[#This Row],[pho (%)]])</f>
        <v>2.733819358397552E-7</v>
      </c>
      <c r="U7" s="8">
        <f>Table112324[[#This Row],[M (KN.mm)]]/(Table112324[[#This Row],[b (mm)]]*Table112324[[#This Row],[d (mm)]]*Table112324[[#This Row],[pho (%)]])</f>
        <v>0.64864864864864868</v>
      </c>
      <c r="V7" s="8">
        <f>E7*224.8/(2*SQRT(Table112324[[#This Row],[fc (Mpa)]]*145.037)*Table112324[[#This Row],[b (mm)]]*Table112324[[#This Row],[d (mm)]]*(1/25.4)^2)</f>
        <v>0.22394969595042946</v>
      </c>
      <c r="W7" s="8">
        <f>Table112324[[#This Row],[M (KN.mm)]]/$G$12</f>
        <v>0.15384615384615385</v>
      </c>
      <c r="X7" s="8">
        <f>E7*224.8/(2*SQRT(Table112324[[#This Row],[fc (Mpa)]]*145.037)*Table112324[[#This Row],[b (mm)]]*Table112324[[#This Row],[d (mm)]]*(1/25.4)^2+Table112324[[#This Row],[Av fy d/s (N)]]*0.2248)</f>
        <v>0.16504560663585371</v>
      </c>
      <c r="Y7" s="8">
        <v>0.40200000000000002</v>
      </c>
      <c r="Z7" s="8">
        <f>Table112324[[#This Row],[Av fy/(b S) (Mpa)]]*Table112324[[#This Row],[d (mm)]]*Table112324[[#This Row],[b (mm)]]</f>
        <v>111555</v>
      </c>
      <c r="AA7" s="8">
        <f>Table112324[[#This Row],[d (mm)]]/600</f>
        <v>1.5416666666666667</v>
      </c>
      <c r="AB7" s="8">
        <f>Table112324[[#This Row],[a/d]]*Table112324[[#This Row],[d]]</f>
        <v>2700</v>
      </c>
      <c r="AC7" s="8">
        <f>Table112324[[#This Row],[d]]</f>
        <v>925</v>
      </c>
      <c r="AD7" s="8">
        <v>1000</v>
      </c>
      <c r="AE7" s="5">
        <v>300</v>
      </c>
      <c r="AF7" s="5">
        <v>46</v>
      </c>
      <c r="AG7" s="8">
        <f>Table112324[[#This Row],[pho (%)]]/100*Table112324[[#This Row],[b (mm)]]*Table112324[[#This Row],[d (mm)]]</f>
        <v>2913.7500000000005</v>
      </c>
      <c r="AH7" s="15">
        <v>1.05</v>
      </c>
      <c r="AI7" s="8">
        <v>508</v>
      </c>
      <c r="AJ7" s="8">
        <f>(1/3-0.21*(MIN(Table112324[[#This Row],[b (mm)]],AD7)/MAX(Table112324[[#This Row],[b (mm)]],AD7))*(MIN(Table112324[[#This Row],[b (mm)]],AD7)^4/(12*MAX(Table112324[[#This Row],[b (mm)]],AD7)^4)))*MAX(Table112324[[#This Row],[b (mm)]],AD7)*MIN(Table112324[[#This Row],[b (mm)]],AD7)^3</f>
        <v>8998851825</v>
      </c>
      <c r="AK7" s="8">
        <f>Table112324[[#This Row],[b (mm)]]*AD7^3/12</f>
        <v>25000000000</v>
      </c>
      <c r="AL7" s="8">
        <v>6000</v>
      </c>
    </row>
    <row r="8" spans="1:42" x14ac:dyDescent="0.25">
      <c r="A8" s="23" t="s">
        <v>121</v>
      </c>
      <c r="B8" s="15">
        <v>2</v>
      </c>
      <c r="C8" s="3">
        <v>7</v>
      </c>
      <c r="D8" s="64">
        <f>2700/Table112324[[#This Row],[d]]</f>
        <v>2.9189189189189189</v>
      </c>
      <c r="E8" s="15">
        <v>200</v>
      </c>
      <c r="F8" s="3">
        <v>925</v>
      </c>
      <c r="G8" s="8">
        <f t="shared" si="0"/>
        <v>540000</v>
      </c>
      <c r="H8" s="8">
        <f t="shared" si="1"/>
        <v>8.2014580751926564E-7</v>
      </c>
      <c r="I8" s="8">
        <f>G8/(Table112324[[#This Row],[b (mm)]]*AC8^2)</f>
        <v>2.10372534696859E-3</v>
      </c>
      <c r="J8" s="8">
        <f t="shared" si="2"/>
        <v>0.39439920265627854</v>
      </c>
      <c r="K8" s="8">
        <f t="shared" si="3"/>
        <v>7.0780438165425135E-7</v>
      </c>
      <c r="L8" s="8">
        <f>E8/(Table112324[[#This Row],[b (mm)]]*AC8)</f>
        <v>7.2072072072072073E-4</v>
      </c>
      <c r="M8" s="8">
        <f>Table112324[[#This Row],[M (KN.mm)]]/(Table112324[[#This Row],[b (mm)]]*Table112324[[#This Row],[d (mm)]])</f>
        <v>1.9459459459459461</v>
      </c>
      <c r="N8" s="8">
        <f>Table112324[[#This Row],[M (KN.mm)]]/(Table112324[[#This Row],[b (mm)]]*Table112324[[#This Row],[h (mm)]])</f>
        <v>1.8</v>
      </c>
      <c r="O8" s="8">
        <f>Table112324[[#This Row],[M (KN.mm)]]/(Table112324[[#This Row],[b (mm)]]*Table112324[[#This Row],[h (mm)]]*Table112324[[#This Row],[L(mm)]])</f>
        <v>2.9999999999999997E-4</v>
      </c>
      <c r="P8" s="8">
        <f>Table112324[[#This Row],[M (KN.mm)]]/(Table112324[[#This Row],[b (mm)]]*Table112324[[#This Row],[d (mm)]]*Table112324[[#This Row],[L(mm)]])</f>
        <v>3.2432432432432431E-4</v>
      </c>
      <c r="Q8" s="8">
        <f>Table112324[[#This Row],[M (KN.mm)]]/(Table112324[[#This Row],[b (mm)]]*Table112324[[#This Row],[h (mm)]]*Table112324[[#This Row],[L(mm)]]*Table112324[[#This Row],[fc (Mpa)]])</f>
        <v>6.5217391304347829E-6</v>
      </c>
      <c r="R8" s="8">
        <f>Table112324[[#This Row],[M (KN.mm)]]/(Table112324[[#This Row],[b (mm)]]*Table112324[[#This Row],[h (mm)]]*Table112324[[#This Row],[L(mm)]]/2)</f>
        <v>5.9999999999999995E-4</v>
      </c>
      <c r="S8" s="8">
        <f>Table112324[[#This Row],[M (KN.mm)]]/(Table112324[[#This Row],[a (mm)]]*Table112324[[#This Row],[b (mm)]]*Table112324[[#This Row],[h (mm)]]*Table112324[[#This Row],[L(mm)]]/2)</f>
        <v>2.2222222222222222E-7</v>
      </c>
      <c r="T8" s="8">
        <f>G8/($AN$5*AK8*0.001*Table112324[[#This Row],[pho (%)]])</f>
        <v>7.8109124525644349E-7</v>
      </c>
      <c r="U8" s="8">
        <f>Table112324[[#This Row],[M (KN.mm)]]/(Table112324[[#This Row],[b (mm)]]*Table112324[[#This Row],[d (mm)]]*Table112324[[#This Row],[pho (%)]])</f>
        <v>1.8532818532818534</v>
      </c>
      <c r="V8" s="8">
        <f>E8*224.8/(2*SQRT(Table112324[[#This Row],[fc (Mpa)]]*145.037)*Table112324[[#This Row],[b (mm)]]*Table112324[[#This Row],[d (mm)]]*(1/25.4)^2)</f>
        <v>0.63985627414408419</v>
      </c>
      <c r="W8" s="8">
        <f>Table112324[[#This Row],[M (KN.mm)]]/$G$12</f>
        <v>0.43956043956043955</v>
      </c>
      <c r="X8" s="8">
        <f>E8*224.8/(2*SQRT(Table112324[[#This Row],[fc (Mpa)]]*145.037)*Table112324[[#This Row],[b (mm)]]*Table112324[[#This Row],[d (mm)]]*(1/25.4)^2+Table112324[[#This Row],[Av fy d/s (N)]]*0.2248)</f>
        <v>0.47155887610243918</v>
      </c>
      <c r="Y8" s="8">
        <v>0.40200000000000002</v>
      </c>
      <c r="Z8" s="8">
        <f>Table112324[[#This Row],[Av fy/(b S) (Mpa)]]*Table112324[[#This Row],[d (mm)]]*Table112324[[#This Row],[b (mm)]]</f>
        <v>111555</v>
      </c>
      <c r="AA8" s="8">
        <f>Table112324[[#This Row],[d (mm)]]/600</f>
        <v>1.5416666666666667</v>
      </c>
      <c r="AB8" s="8">
        <f>Table112324[[#This Row],[a/d]]*Table112324[[#This Row],[d]]</f>
        <v>2700</v>
      </c>
      <c r="AC8" s="8">
        <f>Table112324[[#This Row],[d]]</f>
        <v>925</v>
      </c>
      <c r="AD8" s="8">
        <v>1000</v>
      </c>
      <c r="AE8" s="5">
        <v>300</v>
      </c>
      <c r="AF8" s="5">
        <v>46</v>
      </c>
      <c r="AG8" s="8">
        <f>Table112324[[#This Row],[pho (%)]]/100*Table112324[[#This Row],[b (mm)]]*Table112324[[#This Row],[d (mm)]]</f>
        <v>2913.7500000000005</v>
      </c>
      <c r="AH8" s="15">
        <v>1.05</v>
      </c>
      <c r="AI8" s="8">
        <v>508</v>
      </c>
      <c r="AJ8" s="8">
        <f>(1/3-0.21*(MIN(Table112324[[#This Row],[b (mm)]],AD8)/MAX(Table112324[[#This Row],[b (mm)]],AD8))*(MIN(Table112324[[#This Row],[b (mm)]],AD8)^4/(12*MAX(Table112324[[#This Row],[b (mm)]],AD8)^4)))*MAX(Table112324[[#This Row],[b (mm)]],AD8)*MIN(Table112324[[#This Row],[b (mm)]],AD8)^3</f>
        <v>8998851825</v>
      </c>
      <c r="AK8" s="8">
        <f>Table112324[[#This Row],[b (mm)]]*AD8^3/12</f>
        <v>25000000000</v>
      </c>
      <c r="AL8" s="8">
        <v>6000</v>
      </c>
      <c r="AM8" s="12"/>
      <c r="AN8" s="6"/>
    </row>
    <row r="9" spans="1:42" x14ac:dyDescent="0.25">
      <c r="A9" s="23" t="s">
        <v>121</v>
      </c>
      <c r="B9" s="15">
        <v>3</v>
      </c>
      <c r="C9" s="3">
        <v>8</v>
      </c>
      <c r="D9" s="64">
        <f>2700/Table112324[[#This Row],[d]]</f>
        <v>2.9189189189189189</v>
      </c>
      <c r="E9" s="15">
        <v>300</v>
      </c>
      <c r="F9" s="3">
        <v>925</v>
      </c>
      <c r="G9" s="8">
        <f t="shared" si="0"/>
        <v>810000</v>
      </c>
      <c r="H9" s="8">
        <f t="shared" si="1"/>
        <v>1.2302187112788984E-6</v>
      </c>
      <c r="I9" s="8">
        <f>G9/(Table112324[[#This Row],[b (mm)]]*AC9^2)</f>
        <v>3.1555880204528854E-3</v>
      </c>
      <c r="J9" s="8">
        <f t="shared" si="2"/>
        <v>0.59159880398441789</v>
      </c>
      <c r="K9" s="8">
        <f t="shared" si="3"/>
        <v>1.0617065724813771E-6</v>
      </c>
      <c r="L9" s="8">
        <f>E9/(Table112324[[#This Row],[b (mm)]]*AC9)</f>
        <v>1.0810810810810811E-3</v>
      </c>
      <c r="M9" s="8">
        <f>Table112324[[#This Row],[M (KN.mm)]]/(Table112324[[#This Row],[b (mm)]]*Table112324[[#This Row],[d (mm)]])</f>
        <v>2.9189189189189189</v>
      </c>
      <c r="N9" s="8">
        <f>Table112324[[#This Row],[M (KN.mm)]]/(Table112324[[#This Row],[b (mm)]]*Table112324[[#This Row],[h (mm)]])</f>
        <v>2.7</v>
      </c>
      <c r="O9" s="8">
        <f>Table112324[[#This Row],[M (KN.mm)]]/(Table112324[[#This Row],[b (mm)]]*Table112324[[#This Row],[h (mm)]]*Table112324[[#This Row],[L(mm)]])</f>
        <v>4.4999999999999999E-4</v>
      </c>
      <c r="P9" s="8">
        <f>Table112324[[#This Row],[M (KN.mm)]]/(Table112324[[#This Row],[b (mm)]]*Table112324[[#This Row],[d (mm)]]*Table112324[[#This Row],[L(mm)]])</f>
        <v>4.8648648648648646E-4</v>
      </c>
      <c r="Q9" s="8">
        <f>Table112324[[#This Row],[M (KN.mm)]]/(Table112324[[#This Row],[b (mm)]]*Table112324[[#This Row],[h (mm)]]*Table112324[[#This Row],[L(mm)]]*Table112324[[#This Row],[fc (Mpa)]])</f>
        <v>9.7826086956521748E-6</v>
      </c>
      <c r="R9" s="8">
        <f>Table112324[[#This Row],[M (KN.mm)]]/(Table112324[[#This Row],[b (mm)]]*Table112324[[#This Row],[h (mm)]]*Table112324[[#This Row],[L(mm)]]/2)</f>
        <v>8.9999999999999998E-4</v>
      </c>
      <c r="S9" s="8">
        <f>Table112324[[#This Row],[M (KN.mm)]]/(Table112324[[#This Row],[a (mm)]]*Table112324[[#This Row],[b (mm)]]*Table112324[[#This Row],[h (mm)]]*Table112324[[#This Row],[L(mm)]]/2)</f>
        <v>3.3333333333333335E-7</v>
      </c>
      <c r="T9" s="8">
        <f>G9/($AN$5*AK9*0.001*Table112324[[#This Row],[pho (%)]])</f>
        <v>1.1716368678846651E-6</v>
      </c>
      <c r="U9" s="8">
        <f>Table112324[[#This Row],[M (KN.mm)]]/(Table112324[[#This Row],[b (mm)]]*Table112324[[#This Row],[d (mm)]]*Table112324[[#This Row],[pho (%)]])</f>
        <v>2.7799227799227801</v>
      </c>
      <c r="V9" s="8">
        <f>E9*224.8/(2*SQRT(Table112324[[#This Row],[fc (Mpa)]]*145.037)*Table112324[[#This Row],[b (mm)]]*Table112324[[#This Row],[d (mm)]]*(1/25.4)^2)</f>
        <v>0.95978441121612623</v>
      </c>
      <c r="W9" s="8">
        <f>Table112324[[#This Row],[M (KN.mm)]]/$G$12</f>
        <v>0.65934065934065933</v>
      </c>
      <c r="X9" s="8">
        <f>E9*224.8/(2*SQRT(Table112324[[#This Row],[fc (Mpa)]]*145.037)*Table112324[[#This Row],[b (mm)]]*Table112324[[#This Row],[d (mm)]]*(1/25.4)^2+Table112324[[#This Row],[Av fy d/s (N)]]*0.2248)</f>
        <v>0.70733831415365878</v>
      </c>
      <c r="Y9" s="8">
        <v>0.40200000000000002</v>
      </c>
      <c r="Z9" s="8">
        <f>Table112324[[#This Row],[Av fy/(b S) (Mpa)]]*Table112324[[#This Row],[d (mm)]]*Table112324[[#This Row],[b (mm)]]</f>
        <v>111555</v>
      </c>
      <c r="AA9" s="8">
        <f>Table112324[[#This Row],[d (mm)]]/600</f>
        <v>1.5416666666666667</v>
      </c>
      <c r="AB9" s="8">
        <f>Table112324[[#This Row],[a/d]]*Table112324[[#This Row],[d]]</f>
        <v>2700</v>
      </c>
      <c r="AC9" s="8">
        <f>Table112324[[#This Row],[d]]</f>
        <v>925</v>
      </c>
      <c r="AD9" s="8">
        <v>1000</v>
      </c>
      <c r="AE9" s="5">
        <v>300</v>
      </c>
      <c r="AF9" s="5">
        <v>46</v>
      </c>
      <c r="AG9" s="8">
        <f>Table112324[[#This Row],[pho (%)]]/100*Table112324[[#This Row],[b (mm)]]*Table112324[[#This Row],[d (mm)]]</f>
        <v>2913.7500000000005</v>
      </c>
      <c r="AH9" s="15">
        <v>1.05</v>
      </c>
      <c r="AI9" s="8">
        <v>508</v>
      </c>
      <c r="AJ9" s="8">
        <f>(1/3-0.21*(MIN(Table112324[[#This Row],[b (mm)]],AD9)/MAX(Table112324[[#This Row],[b (mm)]],AD9))*(MIN(Table112324[[#This Row],[b (mm)]],AD9)^4/(12*MAX(Table112324[[#This Row],[b (mm)]],AD9)^4)))*MAX(Table112324[[#This Row],[b (mm)]],AD9)*MIN(Table112324[[#This Row],[b (mm)]],AD9)^3</f>
        <v>8998851825</v>
      </c>
      <c r="AK9" s="8">
        <f>Table112324[[#This Row],[b (mm)]]*AD9^3/12</f>
        <v>25000000000</v>
      </c>
      <c r="AL9" s="8">
        <v>6000</v>
      </c>
      <c r="AM9" s="12"/>
      <c r="AN9" s="6"/>
    </row>
    <row r="10" spans="1:42" x14ac:dyDescent="0.25">
      <c r="A10" s="23" t="s">
        <v>121</v>
      </c>
      <c r="B10" s="15">
        <v>4</v>
      </c>
      <c r="C10" s="3">
        <v>9</v>
      </c>
      <c r="D10" s="64">
        <f>2700/Table112324[[#This Row],[d]]</f>
        <v>2.9189189189189189</v>
      </c>
      <c r="E10" s="15">
        <v>370</v>
      </c>
      <c r="F10" s="3">
        <v>925</v>
      </c>
      <c r="G10" s="8">
        <f t="shared" si="0"/>
        <v>999000</v>
      </c>
      <c r="H10" s="8">
        <f t="shared" si="1"/>
        <v>1.5172697439106414E-6</v>
      </c>
      <c r="I10" s="8">
        <f>G10/(Table112324[[#This Row],[b (mm)]]*AC10^2)</f>
        <v>3.8918918918918917E-3</v>
      </c>
      <c r="J10" s="8">
        <f t="shared" si="2"/>
        <v>0.72963852491411529</v>
      </c>
      <c r="K10" s="8">
        <f t="shared" si="3"/>
        <v>1.3094381060603651E-6</v>
      </c>
      <c r="L10" s="8">
        <f>E10/(Table112324[[#This Row],[b (mm)]]*AC10)</f>
        <v>1.3333333333333333E-3</v>
      </c>
      <c r="M10" s="8">
        <f>Table112324[[#This Row],[M (KN.mm)]]/(Table112324[[#This Row],[b (mm)]]*Table112324[[#This Row],[d (mm)]])</f>
        <v>3.6</v>
      </c>
      <c r="N10" s="8">
        <f>Table112324[[#This Row],[M (KN.mm)]]/(Table112324[[#This Row],[b (mm)]]*Table112324[[#This Row],[h (mm)]])</f>
        <v>3.33</v>
      </c>
      <c r="O10" s="8">
        <f>Table112324[[#This Row],[M (KN.mm)]]/(Table112324[[#This Row],[b (mm)]]*Table112324[[#This Row],[h (mm)]]*Table112324[[#This Row],[L(mm)]])</f>
        <v>5.5500000000000005E-4</v>
      </c>
      <c r="P10" s="8">
        <f>Table112324[[#This Row],[M (KN.mm)]]/(Table112324[[#This Row],[b (mm)]]*Table112324[[#This Row],[d (mm)]]*Table112324[[#This Row],[L(mm)]])</f>
        <v>5.9999999999999995E-4</v>
      </c>
      <c r="Q10" s="8">
        <f>Table112324[[#This Row],[M (KN.mm)]]/(Table112324[[#This Row],[b (mm)]]*Table112324[[#This Row],[h (mm)]]*Table112324[[#This Row],[L(mm)]]*Table112324[[#This Row],[fc (Mpa)]])</f>
        <v>1.2065217391304348E-5</v>
      </c>
      <c r="R10" s="8">
        <f>Table112324[[#This Row],[M (KN.mm)]]/(Table112324[[#This Row],[b (mm)]]*Table112324[[#This Row],[h (mm)]]*Table112324[[#This Row],[L(mm)]]/2)</f>
        <v>1.1100000000000001E-3</v>
      </c>
      <c r="S10" s="8">
        <f>Table112324[[#This Row],[M (KN.mm)]]/(Table112324[[#This Row],[a (mm)]]*Table112324[[#This Row],[b (mm)]]*Table112324[[#This Row],[h (mm)]]*Table112324[[#This Row],[L(mm)]]/2)</f>
        <v>4.1111111111111112E-7</v>
      </c>
      <c r="T10" s="8">
        <f>G10/($AN$5*AK10*0.001*Table112324[[#This Row],[pho (%)]])</f>
        <v>1.4450188037244203E-6</v>
      </c>
      <c r="U10" s="8">
        <f>Table112324[[#This Row],[M (KN.mm)]]/(Table112324[[#This Row],[b (mm)]]*Table112324[[#This Row],[d (mm)]]*Table112324[[#This Row],[pho (%)]])</f>
        <v>3.4285714285714284</v>
      </c>
      <c r="V10" s="8">
        <f>E10*224.8/(2*SQRT(Table112324[[#This Row],[fc (Mpa)]]*145.037)*Table112324[[#This Row],[b (mm)]]*Table112324[[#This Row],[d (mm)]]*(1/25.4)^2)</f>
        <v>1.1837341071665557</v>
      </c>
      <c r="W10" s="8">
        <f>Table112324[[#This Row],[M (KN.mm)]]/$G$12</f>
        <v>0.81318681318681318</v>
      </c>
      <c r="X10" s="8">
        <f>E10*224.8/(2*SQRT(Table112324[[#This Row],[fc (Mpa)]]*145.037)*Table112324[[#This Row],[b (mm)]]*Table112324[[#This Row],[d (mm)]]*(1/25.4)^2+Table112324[[#This Row],[Av fy d/s (N)]]*0.2248)</f>
        <v>0.87238392078951255</v>
      </c>
      <c r="Y10" s="8">
        <v>0.40200000000000002</v>
      </c>
      <c r="Z10" s="8">
        <f>Table112324[[#This Row],[Av fy/(b S) (Mpa)]]*Table112324[[#This Row],[d (mm)]]*Table112324[[#This Row],[b (mm)]]</f>
        <v>111555</v>
      </c>
      <c r="AA10" s="8">
        <f>Table112324[[#This Row],[d (mm)]]/600</f>
        <v>1.5416666666666667</v>
      </c>
      <c r="AB10" s="8">
        <f>Table112324[[#This Row],[a/d]]*Table112324[[#This Row],[d]]</f>
        <v>2700</v>
      </c>
      <c r="AC10" s="8">
        <f>Table112324[[#This Row],[d]]</f>
        <v>925</v>
      </c>
      <c r="AD10" s="8">
        <v>1000</v>
      </c>
      <c r="AE10" s="5">
        <v>300</v>
      </c>
      <c r="AF10" s="5">
        <v>46</v>
      </c>
      <c r="AG10" s="8">
        <f>Table112324[[#This Row],[pho (%)]]/100*Table112324[[#This Row],[b (mm)]]*Table112324[[#This Row],[d (mm)]]</f>
        <v>2913.7500000000005</v>
      </c>
      <c r="AH10" s="15">
        <v>1.05</v>
      </c>
      <c r="AI10" s="8">
        <v>508</v>
      </c>
      <c r="AJ10" s="8">
        <f>(1/3-0.21*(MIN(Table112324[[#This Row],[b (mm)]],AD10)/MAX(Table112324[[#This Row],[b (mm)]],AD10))*(MIN(Table112324[[#This Row],[b (mm)]],AD10)^4/(12*MAX(Table112324[[#This Row],[b (mm)]],AD10)^4)))*MAX(Table112324[[#This Row],[b (mm)]],AD10)*MIN(Table112324[[#This Row],[b (mm)]],AD10)^3</f>
        <v>8998851825</v>
      </c>
      <c r="AK10" s="8">
        <f>Table112324[[#This Row],[b (mm)]]*AD10^3/12</f>
        <v>25000000000</v>
      </c>
      <c r="AL10" s="8">
        <v>6000</v>
      </c>
      <c r="AM10" s="12"/>
      <c r="AN10" s="6"/>
    </row>
    <row r="11" spans="1:42" x14ac:dyDescent="0.25">
      <c r="A11" s="23" t="s">
        <v>121</v>
      </c>
      <c r="B11" s="15">
        <v>5</v>
      </c>
      <c r="C11" s="3">
        <v>10</v>
      </c>
      <c r="D11" s="64">
        <f>2700/Table112324[[#This Row],[d]]</f>
        <v>2.9189189189189189</v>
      </c>
      <c r="E11" s="15">
        <v>400</v>
      </c>
      <c r="F11" s="3">
        <v>925</v>
      </c>
      <c r="G11" s="8">
        <f t="shared" si="0"/>
        <v>1080000</v>
      </c>
      <c r="H11" s="8">
        <f t="shared" si="1"/>
        <v>1.6402916150385313E-6</v>
      </c>
      <c r="I11" s="8">
        <f>G11/(Table112324[[#This Row],[b (mm)]]*AC11^2)</f>
        <v>4.20745069393718E-3</v>
      </c>
      <c r="J11" s="8">
        <f t="shared" si="2"/>
        <v>0.78879840531255707</v>
      </c>
      <c r="K11" s="8">
        <f t="shared" si="3"/>
        <v>1.4156087633085027E-6</v>
      </c>
      <c r="L11" s="8">
        <f>E11/(Table112324[[#This Row],[b (mm)]]*AC11)</f>
        <v>1.4414414414414415E-3</v>
      </c>
      <c r="M11" s="8">
        <f>Table112324[[#This Row],[M (KN.mm)]]/(Table112324[[#This Row],[b (mm)]]*Table112324[[#This Row],[d (mm)]])</f>
        <v>3.8918918918918921</v>
      </c>
      <c r="N11" s="8">
        <f>Table112324[[#This Row],[M (KN.mm)]]/(Table112324[[#This Row],[b (mm)]]*Table112324[[#This Row],[h (mm)]])</f>
        <v>3.6</v>
      </c>
      <c r="O11" s="8">
        <f>Table112324[[#This Row],[M (KN.mm)]]/(Table112324[[#This Row],[b (mm)]]*Table112324[[#This Row],[h (mm)]]*Table112324[[#This Row],[L(mm)]])</f>
        <v>5.9999999999999995E-4</v>
      </c>
      <c r="P11" s="8">
        <f>Table112324[[#This Row],[M (KN.mm)]]/(Table112324[[#This Row],[b (mm)]]*Table112324[[#This Row],[d (mm)]]*Table112324[[#This Row],[L(mm)]])</f>
        <v>6.4864864864864862E-4</v>
      </c>
      <c r="Q11" s="8">
        <f>Table112324[[#This Row],[M (KN.mm)]]/(Table112324[[#This Row],[b (mm)]]*Table112324[[#This Row],[h (mm)]]*Table112324[[#This Row],[L(mm)]]*Table112324[[#This Row],[fc (Mpa)]])</f>
        <v>1.3043478260869566E-5</v>
      </c>
      <c r="R11" s="8">
        <f>Table112324[[#This Row],[M (KN.mm)]]/(Table112324[[#This Row],[b (mm)]]*Table112324[[#This Row],[h (mm)]]*Table112324[[#This Row],[L(mm)]]/2)</f>
        <v>1.1999999999999999E-3</v>
      </c>
      <c r="S11" s="8">
        <f>Table112324[[#This Row],[M (KN.mm)]]/(Table112324[[#This Row],[a (mm)]]*Table112324[[#This Row],[b (mm)]]*Table112324[[#This Row],[h (mm)]]*Table112324[[#This Row],[L(mm)]]/2)</f>
        <v>4.4444444444444444E-7</v>
      </c>
      <c r="T11" s="8">
        <f>G11/($AN$5*AK11*0.001*Table112324[[#This Row],[pho (%)]])</f>
        <v>1.562182490512887E-6</v>
      </c>
      <c r="U11" s="8">
        <f>Table112324[[#This Row],[M (KN.mm)]]/(Table112324[[#This Row],[b (mm)]]*Table112324[[#This Row],[d (mm)]]*Table112324[[#This Row],[pho (%)]])</f>
        <v>3.7065637065637067</v>
      </c>
      <c r="V11" s="8">
        <f>E11*224.8/(2*SQRT(Table112324[[#This Row],[fc (Mpa)]]*145.037)*Table112324[[#This Row],[b (mm)]]*Table112324[[#This Row],[d (mm)]]*(1/25.4)^2)</f>
        <v>1.2797125482881684</v>
      </c>
      <c r="W11" s="8">
        <f>Table112324[[#This Row],[M (KN.mm)]]/$G$12</f>
        <v>0.87912087912087911</v>
      </c>
      <c r="X11" s="8">
        <f>E11*224.8/(2*SQRT(Table112324[[#This Row],[fc (Mpa)]]*145.037)*Table112324[[#This Row],[b (mm)]]*Table112324[[#This Row],[d (mm)]]*(1/25.4)^2+Table112324[[#This Row],[Av fy d/s (N)]]*0.2248)</f>
        <v>0.94311775220487837</v>
      </c>
      <c r="Y11" s="8">
        <v>0.40200000000000002</v>
      </c>
      <c r="Z11" s="8">
        <f>Table112324[[#This Row],[Av fy/(b S) (Mpa)]]*Table112324[[#This Row],[d (mm)]]*Table112324[[#This Row],[b (mm)]]</f>
        <v>111555</v>
      </c>
      <c r="AA11" s="8">
        <f>Table112324[[#This Row],[d (mm)]]/600</f>
        <v>1.5416666666666667</v>
      </c>
      <c r="AB11" s="8">
        <f>Table112324[[#This Row],[a/d]]*Table112324[[#This Row],[d]]</f>
        <v>2700</v>
      </c>
      <c r="AC11" s="8">
        <f>Table112324[[#This Row],[d]]</f>
        <v>925</v>
      </c>
      <c r="AD11" s="8">
        <v>1000</v>
      </c>
      <c r="AE11" s="5">
        <v>300</v>
      </c>
      <c r="AF11" s="5">
        <v>46</v>
      </c>
      <c r="AG11" s="8">
        <f>Table112324[[#This Row],[pho (%)]]/100*Table112324[[#This Row],[b (mm)]]*Table112324[[#This Row],[d (mm)]]</f>
        <v>2913.7500000000005</v>
      </c>
      <c r="AH11" s="15">
        <v>1.05</v>
      </c>
      <c r="AI11" s="8">
        <v>508</v>
      </c>
      <c r="AJ11" s="8">
        <f>(1/3-0.21*(MIN(Table112324[[#This Row],[b (mm)]],AD11)/MAX(Table112324[[#This Row],[b (mm)]],AD11))*(MIN(Table112324[[#This Row],[b (mm)]],AD11)^4/(12*MAX(Table112324[[#This Row],[b (mm)]],AD11)^4)))*MAX(Table112324[[#This Row],[b (mm)]],AD11)*MIN(Table112324[[#This Row],[b (mm)]],AD11)^3</f>
        <v>8998851825</v>
      </c>
      <c r="AK11" s="8">
        <f>Table112324[[#This Row],[b (mm)]]*AD11^3/12</f>
        <v>25000000000</v>
      </c>
      <c r="AL11" s="8">
        <v>6000</v>
      </c>
      <c r="AM11" s="12"/>
      <c r="AN11" s="6"/>
    </row>
    <row r="12" spans="1:42" x14ac:dyDescent="0.25">
      <c r="A12" s="23" t="s">
        <v>121</v>
      </c>
      <c r="B12" s="15">
        <v>6</v>
      </c>
      <c r="C12" s="3">
        <v>11</v>
      </c>
      <c r="D12" s="64">
        <f>2700/Table112324[[#This Row],[d]]</f>
        <v>2.9189189189189189</v>
      </c>
      <c r="E12" s="15">
        <v>455</v>
      </c>
      <c r="F12" s="3">
        <v>925</v>
      </c>
      <c r="G12" s="8">
        <f t="shared" si="0"/>
        <v>1228500</v>
      </c>
      <c r="H12" s="8">
        <f t="shared" si="1"/>
        <v>1.8658317121063294E-6</v>
      </c>
      <c r="I12" s="8">
        <f>G12/(Table112324[[#This Row],[b (mm)]]*AC12^2)</f>
        <v>4.7859751643535425E-3</v>
      </c>
      <c r="J12" s="8">
        <f t="shared" si="2"/>
        <v>0.89725818604303376</v>
      </c>
      <c r="K12" s="8">
        <f t="shared" si="3"/>
        <v>1.6102549682634219E-6</v>
      </c>
      <c r="L12" s="8">
        <f>E12/(Table112324[[#This Row],[b (mm)]]*AC12)</f>
        <v>1.6396396396396397E-3</v>
      </c>
      <c r="M12" s="8">
        <f>Table112324[[#This Row],[M (KN.mm)]]/(Table112324[[#This Row],[b (mm)]]*Table112324[[#This Row],[d (mm)]])</f>
        <v>4.4270270270270267</v>
      </c>
      <c r="N12" s="8">
        <f>Table112324[[#This Row],[M (KN.mm)]]/(Table112324[[#This Row],[b (mm)]]*Table112324[[#This Row],[h (mm)]])</f>
        <v>4.0949999999999998</v>
      </c>
      <c r="O12" s="8">
        <f>Table112324[[#This Row],[M (KN.mm)]]/(Table112324[[#This Row],[b (mm)]]*Table112324[[#This Row],[h (mm)]]*Table112324[[#This Row],[L(mm)]])</f>
        <v>6.8249999999999995E-4</v>
      </c>
      <c r="P12" s="8">
        <f>Table112324[[#This Row],[M (KN.mm)]]/(Table112324[[#This Row],[b (mm)]]*Table112324[[#This Row],[d (mm)]]*Table112324[[#This Row],[L(mm)]])</f>
        <v>7.3783783783783782E-4</v>
      </c>
      <c r="Q12" s="8">
        <f>Table112324[[#This Row],[M (KN.mm)]]/(Table112324[[#This Row],[b (mm)]]*Table112324[[#This Row],[h (mm)]]*Table112324[[#This Row],[L(mm)]]*Table112324[[#This Row],[fc (Mpa)]])</f>
        <v>1.4836956521739131E-5</v>
      </c>
      <c r="R12" s="8">
        <f>Table112324[[#This Row],[M (KN.mm)]]/(Table112324[[#This Row],[b (mm)]]*Table112324[[#This Row],[h (mm)]]*Table112324[[#This Row],[L(mm)]]/2)</f>
        <v>1.3649999999999999E-3</v>
      </c>
      <c r="S12" s="8">
        <f>Table112324[[#This Row],[M (KN.mm)]]/(Table112324[[#This Row],[a (mm)]]*Table112324[[#This Row],[b (mm)]]*Table112324[[#This Row],[h (mm)]]*Table112324[[#This Row],[L(mm)]]/2)</f>
        <v>5.0555555555555557E-7</v>
      </c>
      <c r="T12" s="8">
        <f>G12/($AN$5*AK12*0.001*Table112324[[#This Row],[pho (%)]])</f>
        <v>1.7769825829584089E-6</v>
      </c>
      <c r="U12" s="8">
        <f>Table112324[[#This Row],[M (KN.mm)]]/(Table112324[[#This Row],[b (mm)]]*Table112324[[#This Row],[d (mm)]]*Table112324[[#This Row],[pho (%)]])</f>
        <v>4.2162162162162158</v>
      </c>
      <c r="V12" s="8">
        <f>E12*224.8/(2*SQRT(Table112324[[#This Row],[fc (Mpa)]]*145.037)*Table112324[[#This Row],[b (mm)]]*Table112324[[#This Row],[d (mm)]]*(1/25.4)^2)</f>
        <v>1.4556730236777915</v>
      </c>
      <c r="W12" s="8">
        <f>Table112324[[#This Row],[M (KN.mm)]]/$G$12</f>
        <v>1</v>
      </c>
      <c r="X12" s="8">
        <f>E12*224.8/(2*SQRT(Table112324[[#This Row],[fc (Mpa)]]*145.037)*Table112324[[#This Row],[b (mm)]]*Table112324[[#This Row],[d (mm)]]*(1/25.4)^2+Table112324[[#This Row],[Av fy d/s (N)]]*0.2248)</f>
        <v>1.0727964431330492</v>
      </c>
      <c r="Y12" s="8">
        <v>0.40200000000000002</v>
      </c>
      <c r="Z12" s="8">
        <f>Table112324[[#This Row],[Av fy/(b S) (Mpa)]]*Table112324[[#This Row],[d (mm)]]*Table112324[[#This Row],[b (mm)]]</f>
        <v>111555</v>
      </c>
      <c r="AA12" s="8">
        <f>Table112324[[#This Row],[d (mm)]]/600</f>
        <v>1.5416666666666667</v>
      </c>
      <c r="AB12" s="8">
        <f>Table112324[[#This Row],[a/d]]*Table112324[[#This Row],[d]]</f>
        <v>2700</v>
      </c>
      <c r="AC12" s="8">
        <f>Table112324[[#This Row],[d]]</f>
        <v>925</v>
      </c>
      <c r="AD12" s="8">
        <v>1000</v>
      </c>
      <c r="AE12" s="5">
        <v>300</v>
      </c>
      <c r="AF12" s="5">
        <v>46</v>
      </c>
      <c r="AG12" s="8">
        <f>Table112324[[#This Row],[pho (%)]]/100*Table112324[[#This Row],[b (mm)]]*Table112324[[#This Row],[d (mm)]]</f>
        <v>2913.7500000000005</v>
      </c>
      <c r="AH12" s="15">
        <v>1.05</v>
      </c>
      <c r="AI12" s="8">
        <v>508</v>
      </c>
      <c r="AJ12" s="8">
        <f>(1/3-0.21*(MIN(Table112324[[#This Row],[b (mm)]],AD12)/MAX(Table112324[[#This Row],[b (mm)]],AD12))*(MIN(Table112324[[#This Row],[b (mm)]],AD12)^4/(12*MAX(Table112324[[#This Row],[b (mm)]],AD12)^4)))*MAX(Table112324[[#This Row],[b (mm)]],AD12)*MIN(Table112324[[#This Row],[b (mm)]],AD12)^3</f>
        <v>8998851825</v>
      </c>
      <c r="AK12" s="8">
        <f>Table112324[[#This Row],[b (mm)]]*AD12^3/12</f>
        <v>25000000000</v>
      </c>
      <c r="AL12" s="8">
        <v>6000</v>
      </c>
      <c r="AM12" s="12"/>
      <c r="AN12" s="6"/>
    </row>
    <row r="13" spans="1:42" x14ac:dyDescent="0.25">
      <c r="A13" s="73" t="s">
        <v>122</v>
      </c>
      <c r="B13" s="15">
        <v>1</v>
      </c>
      <c r="C13" s="3">
        <v>12</v>
      </c>
      <c r="D13" s="64">
        <f>2700/Table112324[[#This Row],[d]]</f>
        <v>2.9189189189189189</v>
      </c>
      <c r="E13" s="8">
        <v>150</v>
      </c>
      <c r="F13" s="3">
        <v>925</v>
      </c>
      <c r="G13" s="8">
        <f>E13*AL13/4</f>
        <v>225000</v>
      </c>
      <c r="H13" s="8">
        <f t="shared" ref="H13:H19" si="4">G13/($AN$5*AK13*0.001)</f>
        <v>3.4172741979969401E-7</v>
      </c>
      <c r="I13" s="8">
        <f>G13/(Table112324[[#This Row],[b (mm)]]*AC13^2)</f>
        <v>8.7655222790357921E-4</v>
      </c>
      <c r="J13" s="8">
        <f t="shared" ref="J13:J19" si="5">G13/(AG13*AI13*AC13*0.001)</f>
        <v>0.22703901468700249</v>
      </c>
      <c r="K13" s="8">
        <f t="shared" ref="K13:K19" si="6">E13/($AN$4*AJ13*0.001)</f>
        <v>5.3085328624068857E-7</v>
      </c>
      <c r="L13" s="8">
        <f>E13/(Table112324[[#This Row],[b (mm)]]*AC13)</f>
        <v>5.4054054054054055E-4</v>
      </c>
      <c r="M13" s="8">
        <f>Table112324[[#This Row],[M (KN.mm)]]/(Table112324[[#This Row],[b (mm)]]*Table112324[[#This Row],[d (mm)]])</f>
        <v>0.81081081081081086</v>
      </c>
      <c r="N13" s="8">
        <f>Table112324[[#This Row],[M (KN.mm)]]/(Table112324[[#This Row],[b (mm)]]*Table112324[[#This Row],[h (mm)]])</f>
        <v>0.75</v>
      </c>
      <c r="O13" s="8">
        <f>Table112324[[#This Row],[M (KN.mm)]]/(Table112324[[#This Row],[b (mm)]]*Table112324[[#This Row],[h (mm)]]*Table112324[[#This Row],[L(mm)]])</f>
        <v>1.25E-4</v>
      </c>
      <c r="P13" s="8">
        <f>Table112324[[#This Row],[M (KN.mm)]]/(Table112324[[#This Row],[b (mm)]]*Table112324[[#This Row],[d (mm)]]*Table112324[[#This Row],[L(mm)]])</f>
        <v>1.3513513513513514E-4</v>
      </c>
      <c r="Q13" s="8">
        <f>Table112324[[#This Row],[M (KN.mm)]]/(Table112324[[#This Row],[b (mm)]]*Table112324[[#This Row],[h (mm)]]*Table112324[[#This Row],[L(mm)]]*Table112324[[#This Row],[fc (Mpa)]])</f>
        <v>2.9761904761904763E-6</v>
      </c>
      <c r="R13" s="8">
        <f>Table112324[[#This Row],[M (KN.mm)]]/(Table112324[[#This Row],[b (mm)]]*Table112324[[#This Row],[h (mm)]]*Table112324[[#This Row],[L(mm)]]/2)</f>
        <v>2.5000000000000001E-4</v>
      </c>
      <c r="S13" s="8">
        <f>Table112324[[#This Row],[M (KN.mm)]]/(Table112324[[#This Row],[a (mm)]]*Table112324[[#This Row],[b (mm)]]*Table112324[[#This Row],[h (mm)]]*Table112324[[#This Row],[L(mm)]]/2)</f>
        <v>9.2592592592592591E-8</v>
      </c>
      <c r="T13" s="8">
        <f>G13/($AN$5*AK13*0.001*Table112324[[#This Row],[pho (%)]])</f>
        <v>4.4964134184170266E-7</v>
      </c>
      <c r="U13" s="8">
        <f>Table112324[[#This Row],[M (KN.mm)]]/(Table112324[[#This Row],[b (mm)]]*Table112324[[#This Row],[d (mm)]]*Table112324[[#This Row],[pho (%)]])</f>
        <v>1.0668563300142246</v>
      </c>
      <c r="V13" s="8">
        <f>E13*224.8/(2*SQRT(Table112324[[#This Row],[fc (Mpa)]]*145.037)*Table112324[[#This Row],[b (mm)]]*Table112324[[#This Row],[d (mm)]]*(1/25.4)^2)</f>
        <v>0.50222458299609085</v>
      </c>
      <c r="W13" s="8">
        <f>Table112324[[#This Row],[M (KN.mm)]]/$G$19</f>
        <v>0.19354838709677419</v>
      </c>
      <c r="X13" s="8">
        <f>E13*224.8/(2*SQRT(Table112324[[#This Row],[fc (Mpa)]]*145.037)*Table112324[[#This Row],[b (mm)]]*Table112324[[#This Row],[d (mm)]]*(1/25.4)^2+Table112324[[#This Row],[Av fy d/s (N)]]*0.2248)</f>
        <v>0.365651959189154</v>
      </c>
      <c r="Y13" s="8">
        <v>0.40200000000000002</v>
      </c>
      <c r="Z13" s="8">
        <f>Table112324[[#This Row],[Av fy/(b S) (Mpa)]]*Table112324[[#This Row],[d (mm)]]*Table112324[[#This Row],[b (mm)]]</f>
        <v>111555</v>
      </c>
      <c r="AA13" s="8">
        <f>Table112324[[#This Row],[d (mm)]]/600</f>
        <v>1.5416666666666667</v>
      </c>
      <c r="AB13" s="8">
        <f>Table112324[[#This Row],[a/d]]*Table112324[[#This Row],[d]]</f>
        <v>2700</v>
      </c>
      <c r="AC13" s="8">
        <f>Table112324[[#This Row],[d]]</f>
        <v>925</v>
      </c>
      <c r="AD13" s="8">
        <v>1000</v>
      </c>
      <c r="AE13" s="5">
        <v>300</v>
      </c>
      <c r="AF13" s="5">
        <v>42</v>
      </c>
      <c r="AG13" s="8">
        <f>Table112324[[#This Row],[pho (%)]]/100*Table112324[[#This Row],[b (mm)]]*Table112324[[#This Row],[d (mm)]]</f>
        <v>2109</v>
      </c>
      <c r="AH13" s="15">
        <v>0.76</v>
      </c>
      <c r="AI13" s="8">
        <v>508</v>
      </c>
      <c r="AJ13" s="8">
        <f>(1/3-0.21*(MIN(Table112324[[#This Row],[b (mm)]],AD13)/MAX(Table112324[[#This Row],[b (mm)]],AD13))*(MIN(Table112324[[#This Row],[b (mm)]],AD13)^4/(12*MAX(Table112324[[#This Row],[b (mm)]],AD13)^4)))*MAX(Table112324[[#This Row],[b (mm)]],AD13)*MIN(Table112324[[#This Row],[b (mm)]],AD13)^3</f>
        <v>8998851825</v>
      </c>
      <c r="AK13" s="8">
        <f>Table112324[[#This Row],[b (mm)]]*AD13^3/12</f>
        <v>25000000000</v>
      </c>
      <c r="AL13" s="8">
        <v>6000</v>
      </c>
      <c r="AM13" s="12"/>
      <c r="AN13" s="6"/>
    </row>
    <row r="14" spans="1:42" x14ac:dyDescent="0.25">
      <c r="A14" s="73" t="s">
        <v>122</v>
      </c>
      <c r="B14" s="15">
        <v>2</v>
      </c>
      <c r="C14" s="3">
        <v>13</v>
      </c>
      <c r="D14" s="64">
        <f>2700/Table112324[[#This Row],[d]]</f>
        <v>2.9189189189189189</v>
      </c>
      <c r="E14" s="8">
        <v>300</v>
      </c>
      <c r="F14" s="3">
        <v>925</v>
      </c>
      <c r="G14" s="8">
        <f>E14*AL14/4</f>
        <v>450000</v>
      </c>
      <c r="H14" s="8">
        <f t="shared" si="4"/>
        <v>6.8345483959938802E-7</v>
      </c>
      <c r="I14" s="8">
        <f>G14/(Table112324[[#This Row],[b (mm)]]*AC14^2)</f>
        <v>1.7531044558071584E-3</v>
      </c>
      <c r="J14" s="8">
        <f t="shared" si="5"/>
        <v>0.45407802937400499</v>
      </c>
      <c r="K14" s="8">
        <f t="shared" si="6"/>
        <v>1.0617065724813771E-6</v>
      </c>
      <c r="L14" s="8">
        <f>E14/(Table112324[[#This Row],[b (mm)]]*AC14)</f>
        <v>1.0810810810810811E-3</v>
      </c>
      <c r="M14" s="8">
        <f>Table112324[[#This Row],[M (KN.mm)]]/(Table112324[[#This Row],[b (mm)]]*Table112324[[#This Row],[d (mm)]])</f>
        <v>1.6216216216216217</v>
      </c>
      <c r="N14" s="8">
        <f>Table112324[[#This Row],[M (KN.mm)]]/(Table112324[[#This Row],[b (mm)]]*Table112324[[#This Row],[h (mm)]])</f>
        <v>1.5</v>
      </c>
      <c r="O14" s="8">
        <f>Table112324[[#This Row],[M (KN.mm)]]/(Table112324[[#This Row],[b (mm)]]*Table112324[[#This Row],[h (mm)]]*Table112324[[#This Row],[L(mm)]])</f>
        <v>2.5000000000000001E-4</v>
      </c>
      <c r="P14" s="8">
        <f>Table112324[[#This Row],[M (KN.mm)]]/(Table112324[[#This Row],[b (mm)]]*Table112324[[#This Row],[d (mm)]]*Table112324[[#This Row],[L(mm)]])</f>
        <v>2.7027027027027027E-4</v>
      </c>
      <c r="Q14" s="8">
        <f>Table112324[[#This Row],[M (KN.mm)]]/(Table112324[[#This Row],[b (mm)]]*Table112324[[#This Row],[h (mm)]]*Table112324[[#This Row],[L(mm)]]*Table112324[[#This Row],[fc (Mpa)]])</f>
        <v>5.9523809523809525E-6</v>
      </c>
      <c r="R14" s="8">
        <f>Table112324[[#This Row],[M (KN.mm)]]/(Table112324[[#This Row],[b (mm)]]*Table112324[[#This Row],[h (mm)]]*Table112324[[#This Row],[L(mm)]]/2)</f>
        <v>5.0000000000000001E-4</v>
      </c>
      <c r="S14" s="8">
        <f>Table112324[[#This Row],[M (KN.mm)]]/(Table112324[[#This Row],[a (mm)]]*Table112324[[#This Row],[b (mm)]]*Table112324[[#This Row],[h (mm)]]*Table112324[[#This Row],[L(mm)]]/2)</f>
        <v>1.8518518518518518E-7</v>
      </c>
      <c r="T14" s="8">
        <f>G14/($AN$5*AK14*0.001*Table112324[[#This Row],[pho (%)]])</f>
        <v>8.9928268368340533E-7</v>
      </c>
      <c r="U14" s="8">
        <f>Table112324[[#This Row],[M (KN.mm)]]/(Table112324[[#This Row],[b (mm)]]*Table112324[[#This Row],[d (mm)]]*Table112324[[#This Row],[pho (%)]])</f>
        <v>2.1337126600284493</v>
      </c>
      <c r="V14" s="8">
        <f>E14*224.8/(2*SQRT(Table112324[[#This Row],[fc (Mpa)]]*145.037)*Table112324[[#This Row],[b (mm)]]*Table112324[[#This Row],[d (mm)]]*(1/25.4)^2)</f>
        <v>1.0044491659921817</v>
      </c>
      <c r="W14" s="8">
        <f>Table112324[[#This Row],[M (KN.mm)]]/$G$19</f>
        <v>0.38709677419354838</v>
      </c>
      <c r="X14" s="8">
        <f>E14*224.8/(2*SQRT(Table112324[[#This Row],[fc (Mpa)]]*145.037)*Table112324[[#This Row],[b (mm)]]*Table112324[[#This Row],[d (mm)]]*(1/25.4)^2+Table112324[[#This Row],[Av fy d/s (N)]]*0.2248)</f>
        <v>0.73130391837830799</v>
      </c>
      <c r="Y14" s="8">
        <v>0.40200000000000002</v>
      </c>
      <c r="Z14" s="8">
        <f>Table112324[[#This Row],[Av fy/(b S) (Mpa)]]*Table112324[[#This Row],[d (mm)]]*Table112324[[#This Row],[b (mm)]]</f>
        <v>111555</v>
      </c>
      <c r="AA14" s="8">
        <f>Table112324[[#This Row],[d (mm)]]/600</f>
        <v>1.5416666666666667</v>
      </c>
      <c r="AB14" s="8">
        <f>Table112324[[#This Row],[a/d]]*Table112324[[#This Row],[d]]</f>
        <v>2700</v>
      </c>
      <c r="AC14" s="8">
        <f>Table112324[[#This Row],[d]]</f>
        <v>925</v>
      </c>
      <c r="AD14" s="8">
        <v>1000</v>
      </c>
      <c r="AE14" s="5">
        <v>300</v>
      </c>
      <c r="AF14" s="5">
        <v>42</v>
      </c>
      <c r="AG14" s="8">
        <f>Table112324[[#This Row],[pho (%)]]/100*Table112324[[#This Row],[b (mm)]]*Table112324[[#This Row],[d (mm)]]</f>
        <v>2109</v>
      </c>
      <c r="AH14" s="15">
        <v>0.76</v>
      </c>
      <c r="AI14" s="8">
        <v>508</v>
      </c>
      <c r="AJ14" s="8">
        <f>(1/3-0.21*(MIN(Table112324[[#This Row],[b (mm)]],AD14)/MAX(Table112324[[#This Row],[b (mm)]],AD14))*(MIN(Table112324[[#This Row],[b (mm)]],AD14)^4/(12*MAX(Table112324[[#This Row],[b (mm)]],AD14)^4)))*MAX(Table112324[[#This Row],[b (mm)]],AD14)*MIN(Table112324[[#This Row],[b (mm)]],AD14)^3</f>
        <v>8998851825</v>
      </c>
      <c r="AK14" s="8">
        <f>Table112324[[#This Row],[b (mm)]]*AD14^3/12</f>
        <v>25000000000</v>
      </c>
      <c r="AL14" s="8">
        <v>6000</v>
      </c>
      <c r="AM14" s="12"/>
      <c r="AN14" s="6"/>
    </row>
    <row r="15" spans="1:42" x14ac:dyDescent="0.25">
      <c r="A15" s="73" t="s">
        <v>122</v>
      </c>
      <c r="B15" s="15">
        <v>3</v>
      </c>
      <c r="C15" s="3">
        <v>14</v>
      </c>
      <c r="D15" s="64">
        <f>2700/Table112324[[#This Row],[d]]</f>
        <v>2.9189189189189189</v>
      </c>
      <c r="E15" s="8">
        <v>375</v>
      </c>
      <c r="F15" s="3">
        <v>925</v>
      </c>
      <c r="G15" s="8">
        <f>E15*AL15/4</f>
        <v>562500</v>
      </c>
      <c r="H15" s="8">
        <f t="shared" si="4"/>
        <v>8.5431854949923505E-7</v>
      </c>
      <c r="I15" s="8">
        <f>G15/(Table112324[[#This Row],[b (mm)]]*AC15^2)</f>
        <v>2.1913805697589481E-3</v>
      </c>
      <c r="J15" s="8">
        <f t="shared" si="5"/>
        <v>0.56759753671750623</v>
      </c>
      <c r="K15" s="8">
        <f t="shared" si="6"/>
        <v>1.3271332156017213E-6</v>
      </c>
      <c r="L15" s="8">
        <f>E15/(Table112324[[#This Row],[b (mm)]]*AC15)</f>
        <v>1.3513513513513514E-3</v>
      </c>
      <c r="M15" s="8">
        <f>Table112324[[#This Row],[M (KN.mm)]]/(Table112324[[#This Row],[b (mm)]]*Table112324[[#This Row],[d (mm)]])</f>
        <v>2.0270270270270272</v>
      </c>
      <c r="N15" s="8">
        <f>Table112324[[#This Row],[M (KN.mm)]]/(Table112324[[#This Row],[b (mm)]]*Table112324[[#This Row],[h (mm)]])</f>
        <v>1.875</v>
      </c>
      <c r="O15" s="8">
        <f>Table112324[[#This Row],[M (KN.mm)]]/(Table112324[[#This Row],[b (mm)]]*Table112324[[#This Row],[h (mm)]]*Table112324[[#This Row],[L(mm)]])</f>
        <v>3.1250000000000001E-4</v>
      </c>
      <c r="P15" s="8">
        <f>Table112324[[#This Row],[M (KN.mm)]]/(Table112324[[#This Row],[b (mm)]]*Table112324[[#This Row],[d (mm)]]*Table112324[[#This Row],[L(mm)]])</f>
        <v>3.3783783783783786E-4</v>
      </c>
      <c r="Q15" s="8">
        <f>Table112324[[#This Row],[M (KN.mm)]]/(Table112324[[#This Row],[b (mm)]]*Table112324[[#This Row],[h (mm)]]*Table112324[[#This Row],[L(mm)]]*Table112324[[#This Row],[fc (Mpa)]])</f>
        <v>7.4404761904761905E-6</v>
      </c>
      <c r="R15" s="8">
        <f>Table112324[[#This Row],[M (KN.mm)]]/(Table112324[[#This Row],[b (mm)]]*Table112324[[#This Row],[h (mm)]]*Table112324[[#This Row],[L(mm)]]/2)</f>
        <v>6.2500000000000001E-4</v>
      </c>
      <c r="S15" s="8">
        <f>Table112324[[#This Row],[M (KN.mm)]]/(Table112324[[#This Row],[a (mm)]]*Table112324[[#This Row],[b (mm)]]*Table112324[[#This Row],[h (mm)]]*Table112324[[#This Row],[L(mm)]]/2)</f>
        <v>2.3148148148148148E-7</v>
      </c>
      <c r="T15" s="8">
        <f>G15/($AN$5*AK15*0.001*Table112324[[#This Row],[pho (%)]])</f>
        <v>1.1241033546042566E-6</v>
      </c>
      <c r="U15" s="8">
        <f>Table112324[[#This Row],[M (KN.mm)]]/(Table112324[[#This Row],[b (mm)]]*Table112324[[#This Row],[d (mm)]]*Table112324[[#This Row],[pho (%)]])</f>
        <v>2.6671408250355619</v>
      </c>
      <c r="V15" s="8">
        <f>E15*224.8/(2*SQRT(Table112324[[#This Row],[fc (Mpa)]]*145.037)*Table112324[[#This Row],[b (mm)]]*Table112324[[#This Row],[d (mm)]]*(1/25.4)^2)</f>
        <v>1.2555614574902272</v>
      </c>
      <c r="W15" s="8">
        <f>Table112324[[#This Row],[M (KN.mm)]]/$G$19</f>
        <v>0.4838709677419355</v>
      </c>
      <c r="X15" s="8">
        <f>E15*224.8/(2*SQRT(Table112324[[#This Row],[fc (Mpa)]]*145.037)*Table112324[[#This Row],[b (mm)]]*Table112324[[#This Row],[d (mm)]]*(1/25.4)^2+Table112324[[#This Row],[Av fy d/s (N)]]*0.2248)</f>
        <v>0.91412989797288502</v>
      </c>
      <c r="Y15" s="8">
        <v>0.40200000000000002</v>
      </c>
      <c r="Z15" s="8">
        <f>Table112324[[#This Row],[Av fy/(b S) (Mpa)]]*Table112324[[#This Row],[d (mm)]]*Table112324[[#This Row],[b (mm)]]</f>
        <v>111555</v>
      </c>
      <c r="AA15" s="8">
        <f>Table112324[[#This Row],[d (mm)]]/600</f>
        <v>1.5416666666666667</v>
      </c>
      <c r="AB15" s="8">
        <f>Table112324[[#This Row],[a/d]]*Table112324[[#This Row],[d]]</f>
        <v>2700</v>
      </c>
      <c r="AC15" s="8">
        <f>Table112324[[#This Row],[d]]</f>
        <v>925</v>
      </c>
      <c r="AD15" s="8">
        <v>1000</v>
      </c>
      <c r="AE15" s="5">
        <v>300</v>
      </c>
      <c r="AF15" s="5">
        <v>42</v>
      </c>
      <c r="AG15" s="8">
        <f>Table112324[[#This Row],[pho (%)]]/100*Table112324[[#This Row],[b (mm)]]*Table112324[[#This Row],[d (mm)]]</f>
        <v>2109</v>
      </c>
      <c r="AH15" s="15">
        <v>0.76</v>
      </c>
      <c r="AI15" s="8">
        <v>508</v>
      </c>
      <c r="AJ15" s="8">
        <f>(1/3-0.21*(MIN(Table112324[[#This Row],[b (mm)]],AD15)/MAX(Table112324[[#This Row],[b (mm)]],AD15))*(MIN(Table112324[[#This Row],[b (mm)]],AD15)^4/(12*MAX(Table112324[[#This Row],[b (mm)]],AD15)^4)))*MAX(Table112324[[#This Row],[b (mm)]],AD15)*MIN(Table112324[[#This Row],[b (mm)]],AD15)^3</f>
        <v>8998851825</v>
      </c>
      <c r="AK15" s="8">
        <f>Table112324[[#This Row],[b (mm)]]*AD15^3/12</f>
        <v>25000000000</v>
      </c>
      <c r="AL15" s="8">
        <v>6000</v>
      </c>
      <c r="AM15" s="12"/>
      <c r="AN15" s="6"/>
    </row>
    <row r="16" spans="1:42" x14ac:dyDescent="0.25">
      <c r="A16" s="73" t="s">
        <v>122</v>
      </c>
      <c r="B16" s="15">
        <v>4</v>
      </c>
      <c r="C16" s="3">
        <v>15</v>
      </c>
      <c r="D16" s="64">
        <f>2700/Table112324[[#This Row],[d]]</f>
        <v>2.9189189189189189</v>
      </c>
      <c r="E16" s="8">
        <v>450</v>
      </c>
      <c r="F16" s="3">
        <v>925</v>
      </c>
      <c r="G16" s="8">
        <f t="shared" ref="G16:G24" si="7">E16*AL16/4</f>
        <v>675000</v>
      </c>
      <c r="H16" s="8">
        <f t="shared" si="4"/>
        <v>1.025182259399082E-6</v>
      </c>
      <c r="I16" s="8">
        <f>G16/(Table112324[[#This Row],[b (mm)]]*AC16^2)</f>
        <v>2.6296566837107379E-3</v>
      </c>
      <c r="J16" s="8">
        <f t="shared" si="5"/>
        <v>0.68111704406100748</v>
      </c>
      <c r="K16" s="8">
        <f t="shared" si="6"/>
        <v>1.5925598587220656E-6</v>
      </c>
      <c r="L16" s="8">
        <f>E16/(Table112324[[#This Row],[b (mm)]]*AC16)</f>
        <v>1.6216216216216215E-3</v>
      </c>
      <c r="M16" s="8">
        <f>Table112324[[#This Row],[M (KN.mm)]]/(Table112324[[#This Row],[b (mm)]]*Table112324[[#This Row],[d (mm)]])</f>
        <v>2.4324324324324325</v>
      </c>
      <c r="N16" s="8">
        <f>Table112324[[#This Row],[M (KN.mm)]]/(Table112324[[#This Row],[b (mm)]]*Table112324[[#This Row],[h (mm)]])</f>
        <v>2.25</v>
      </c>
      <c r="O16" s="8">
        <f>Table112324[[#This Row],[M (KN.mm)]]/(Table112324[[#This Row],[b (mm)]]*Table112324[[#This Row],[h (mm)]]*Table112324[[#This Row],[L(mm)]])</f>
        <v>3.7500000000000001E-4</v>
      </c>
      <c r="P16" s="8">
        <f>Table112324[[#This Row],[M (KN.mm)]]/(Table112324[[#This Row],[b (mm)]]*Table112324[[#This Row],[d (mm)]]*Table112324[[#This Row],[L(mm)]])</f>
        <v>4.0540540540540538E-4</v>
      </c>
      <c r="Q16" s="8">
        <f>Table112324[[#This Row],[M (KN.mm)]]/(Table112324[[#This Row],[b (mm)]]*Table112324[[#This Row],[h (mm)]]*Table112324[[#This Row],[L(mm)]]*Table112324[[#This Row],[fc (Mpa)]])</f>
        <v>8.9285714285714292E-6</v>
      </c>
      <c r="R16" s="8">
        <f>Table112324[[#This Row],[M (KN.mm)]]/(Table112324[[#This Row],[b (mm)]]*Table112324[[#This Row],[h (mm)]]*Table112324[[#This Row],[L(mm)]]/2)</f>
        <v>7.5000000000000002E-4</v>
      </c>
      <c r="S16" s="8">
        <f>Table112324[[#This Row],[M (KN.mm)]]/(Table112324[[#This Row],[a (mm)]]*Table112324[[#This Row],[b (mm)]]*Table112324[[#This Row],[h (mm)]]*Table112324[[#This Row],[L(mm)]]/2)</f>
        <v>2.7777777777777776E-7</v>
      </c>
      <c r="T16" s="8">
        <f>G16/($AN$5*AK16*0.001*Table112324[[#This Row],[pho (%)]])</f>
        <v>1.348924025525108E-6</v>
      </c>
      <c r="U16" s="8">
        <f>Table112324[[#This Row],[M (KN.mm)]]/(Table112324[[#This Row],[b (mm)]]*Table112324[[#This Row],[d (mm)]]*Table112324[[#This Row],[pho (%)]])</f>
        <v>3.2005689900426741</v>
      </c>
      <c r="V16" s="8">
        <f>E16*224.8/(2*SQRT(Table112324[[#This Row],[fc (Mpa)]]*145.037)*Table112324[[#This Row],[b (mm)]]*Table112324[[#This Row],[d (mm)]]*(1/25.4)^2)</f>
        <v>1.5066737489882727</v>
      </c>
      <c r="W16" s="8">
        <f>Table112324[[#This Row],[M (KN.mm)]]/$G$19</f>
        <v>0.58064516129032262</v>
      </c>
      <c r="X16" s="8">
        <f>E16*224.8/(2*SQRT(Table112324[[#This Row],[fc (Mpa)]]*145.037)*Table112324[[#This Row],[b (mm)]]*Table112324[[#This Row],[d (mm)]]*(1/25.4)^2+Table112324[[#This Row],[Av fy d/s (N)]]*0.2248)</f>
        <v>1.0969558775674619</v>
      </c>
      <c r="Y16" s="8">
        <v>0.40200000000000002</v>
      </c>
      <c r="Z16" s="8">
        <f>Table112324[[#This Row],[Av fy/(b S) (Mpa)]]*Table112324[[#This Row],[d (mm)]]*Table112324[[#This Row],[b (mm)]]</f>
        <v>111555</v>
      </c>
      <c r="AA16" s="8">
        <f>Table112324[[#This Row],[d (mm)]]/600</f>
        <v>1.5416666666666667</v>
      </c>
      <c r="AB16" s="8">
        <f>Table112324[[#This Row],[a/d]]*Table112324[[#This Row],[d]]</f>
        <v>2700</v>
      </c>
      <c r="AC16" s="8">
        <f>Table112324[[#This Row],[d]]</f>
        <v>925</v>
      </c>
      <c r="AD16" s="8">
        <v>1000</v>
      </c>
      <c r="AE16" s="5">
        <v>300</v>
      </c>
      <c r="AF16" s="5">
        <v>42</v>
      </c>
      <c r="AG16" s="8">
        <f>Table112324[[#This Row],[pho (%)]]/100*Table112324[[#This Row],[b (mm)]]*Table112324[[#This Row],[d (mm)]]</f>
        <v>2109</v>
      </c>
      <c r="AH16" s="15">
        <v>0.76</v>
      </c>
      <c r="AI16" s="8">
        <v>508</v>
      </c>
      <c r="AJ16" s="8">
        <f>(1/3-0.21*(MIN(Table112324[[#This Row],[b (mm)]],AD16)/MAX(Table112324[[#This Row],[b (mm)]],AD16))*(MIN(Table112324[[#This Row],[b (mm)]],AD16)^4/(12*MAX(Table112324[[#This Row],[b (mm)]],AD16)^4)))*MAX(Table112324[[#This Row],[b (mm)]],AD16)*MIN(Table112324[[#This Row],[b (mm)]],AD16)^3</f>
        <v>8998851825</v>
      </c>
      <c r="AK16" s="8">
        <f>Table112324[[#This Row],[b (mm)]]*AD16^3/12</f>
        <v>25000000000</v>
      </c>
      <c r="AL16" s="8">
        <v>6000</v>
      </c>
      <c r="AM16" s="12"/>
      <c r="AN16" s="6"/>
    </row>
    <row r="17" spans="1:42" x14ac:dyDescent="0.25">
      <c r="A17" s="73" t="s">
        <v>122</v>
      </c>
      <c r="B17" s="15">
        <v>5</v>
      </c>
      <c r="C17" s="3">
        <v>16</v>
      </c>
      <c r="D17" s="64">
        <f>2700/Table112324[[#This Row],[d]]</f>
        <v>2.9189189189189189</v>
      </c>
      <c r="E17" s="8">
        <v>600</v>
      </c>
      <c r="F17" s="3">
        <v>925</v>
      </c>
      <c r="G17" s="8">
        <f t="shared" si="7"/>
        <v>900000</v>
      </c>
      <c r="H17" s="8">
        <f t="shared" si="4"/>
        <v>1.366909679198776E-6</v>
      </c>
      <c r="I17" s="8">
        <f>G17/(Table112324[[#This Row],[b (mm)]]*AC17^2)</f>
        <v>3.5062089116143168E-3</v>
      </c>
      <c r="J17" s="8">
        <f t="shared" si="5"/>
        <v>0.90815605874800998</v>
      </c>
      <c r="K17" s="8">
        <f t="shared" si="6"/>
        <v>2.1234131449627543E-6</v>
      </c>
      <c r="L17" s="8">
        <f>E17/(Table112324[[#This Row],[b (mm)]]*AC17)</f>
        <v>2.1621621621621622E-3</v>
      </c>
      <c r="M17" s="8">
        <f>Table112324[[#This Row],[M (KN.mm)]]/(Table112324[[#This Row],[b (mm)]]*Table112324[[#This Row],[d (mm)]])</f>
        <v>3.2432432432432434</v>
      </c>
      <c r="N17" s="8">
        <f>Table112324[[#This Row],[M (KN.mm)]]/(Table112324[[#This Row],[b (mm)]]*Table112324[[#This Row],[h (mm)]])</f>
        <v>3</v>
      </c>
      <c r="O17" s="8">
        <f>Table112324[[#This Row],[M (KN.mm)]]/(Table112324[[#This Row],[b (mm)]]*Table112324[[#This Row],[h (mm)]]*Table112324[[#This Row],[L(mm)]])</f>
        <v>5.0000000000000001E-4</v>
      </c>
      <c r="P17" s="8">
        <f>Table112324[[#This Row],[M (KN.mm)]]/(Table112324[[#This Row],[b (mm)]]*Table112324[[#This Row],[d (mm)]]*Table112324[[#This Row],[L(mm)]])</f>
        <v>5.4054054054054055E-4</v>
      </c>
      <c r="Q17" s="8">
        <f>Table112324[[#This Row],[M (KN.mm)]]/(Table112324[[#This Row],[b (mm)]]*Table112324[[#This Row],[h (mm)]]*Table112324[[#This Row],[L(mm)]]*Table112324[[#This Row],[fc (Mpa)]])</f>
        <v>1.1904761904761905E-5</v>
      </c>
      <c r="R17" s="8">
        <f>Table112324[[#This Row],[M (KN.mm)]]/(Table112324[[#This Row],[b (mm)]]*Table112324[[#This Row],[h (mm)]]*Table112324[[#This Row],[L(mm)]]/2)</f>
        <v>1E-3</v>
      </c>
      <c r="S17" s="8">
        <f>Table112324[[#This Row],[M (KN.mm)]]/(Table112324[[#This Row],[a (mm)]]*Table112324[[#This Row],[b (mm)]]*Table112324[[#This Row],[h (mm)]]*Table112324[[#This Row],[L(mm)]]/2)</f>
        <v>3.7037037037037036E-7</v>
      </c>
      <c r="T17" s="8">
        <f>G17/($AN$5*AK17*0.001*Table112324[[#This Row],[pho (%)]])</f>
        <v>1.7985653673668107E-6</v>
      </c>
      <c r="U17" s="8">
        <f>Table112324[[#This Row],[M (KN.mm)]]/(Table112324[[#This Row],[b (mm)]]*Table112324[[#This Row],[d (mm)]]*Table112324[[#This Row],[pho (%)]])</f>
        <v>4.2674253200568986</v>
      </c>
      <c r="V17" s="8">
        <f>E17*224.8/(2*SQRT(Table112324[[#This Row],[fc (Mpa)]]*145.037)*Table112324[[#This Row],[b (mm)]]*Table112324[[#This Row],[d (mm)]]*(1/25.4)^2)</f>
        <v>2.0088983319843634</v>
      </c>
      <c r="W17" s="8">
        <f>Table112324[[#This Row],[M (KN.mm)]]/$G$19</f>
        <v>0.77419354838709675</v>
      </c>
      <c r="X17" s="8">
        <f>E17*224.8/(2*SQRT(Table112324[[#This Row],[fc (Mpa)]]*145.037)*Table112324[[#This Row],[b (mm)]]*Table112324[[#This Row],[d (mm)]]*(1/25.4)^2+Table112324[[#This Row],[Av fy d/s (N)]]*0.2248)</f>
        <v>1.462607836756616</v>
      </c>
      <c r="Y17" s="8">
        <v>0.40200000000000002</v>
      </c>
      <c r="Z17" s="8">
        <f>Table112324[[#This Row],[Av fy/(b S) (Mpa)]]*Table112324[[#This Row],[d (mm)]]*Table112324[[#This Row],[b (mm)]]</f>
        <v>111555</v>
      </c>
      <c r="AA17" s="8">
        <f>Table112324[[#This Row],[d (mm)]]/600</f>
        <v>1.5416666666666667</v>
      </c>
      <c r="AB17" s="8">
        <f>Table112324[[#This Row],[a/d]]*Table112324[[#This Row],[d]]</f>
        <v>2700</v>
      </c>
      <c r="AC17" s="8">
        <f>Table112324[[#This Row],[d]]</f>
        <v>925</v>
      </c>
      <c r="AD17" s="8">
        <v>1000</v>
      </c>
      <c r="AE17" s="5">
        <v>300</v>
      </c>
      <c r="AF17" s="5">
        <v>42</v>
      </c>
      <c r="AG17" s="8">
        <f>Table112324[[#This Row],[pho (%)]]/100*Table112324[[#This Row],[b (mm)]]*Table112324[[#This Row],[d (mm)]]</f>
        <v>2109</v>
      </c>
      <c r="AH17" s="15">
        <v>0.76</v>
      </c>
      <c r="AI17" s="8">
        <v>508</v>
      </c>
      <c r="AJ17" s="8">
        <f>(1/3-0.21*(MIN(Table112324[[#This Row],[b (mm)]],AD17)/MAX(Table112324[[#This Row],[b (mm)]],AD17))*(MIN(Table112324[[#This Row],[b (mm)]],AD17)^4/(12*MAX(Table112324[[#This Row],[b (mm)]],AD17)^4)))*MAX(Table112324[[#This Row],[b (mm)]],AD17)*MIN(Table112324[[#This Row],[b (mm)]],AD17)^3</f>
        <v>8998851825</v>
      </c>
      <c r="AK17" s="8">
        <f>Table112324[[#This Row],[b (mm)]]*AD17^3/12</f>
        <v>25000000000</v>
      </c>
      <c r="AL17" s="8">
        <v>6000</v>
      </c>
      <c r="AM17" s="12"/>
      <c r="AN17" s="6"/>
    </row>
    <row r="18" spans="1:42" s="10" customFormat="1" x14ac:dyDescent="0.25">
      <c r="A18" s="73" t="s">
        <v>122</v>
      </c>
      <c r="B18" s="15">
        <v>6</v>
      </c>
      <c r="C18" s="3">
        <v>17</v>
      </c>
      <c r="D18" s="64">
        <f>2700/Table112324[[#This Row],[d]]</f>
        <v>2.9189189189189189</v>
      </c>
      <c r="E18" s="8">
        <v>750</v>
      </c>
      <c r="F18" s="3">
        <v>925</v>
      </c>
      <c r="G18" s="8">
        <f t="shared" si="7"/>
        <v>1125000</v>
      </c>
      <c r="H18" s="8">
        <f t="shared" si="4"/>
        <v>1.7086370989984701E-6</v>
      </c>
      <c r="I18" s="8">
        <f>G18/(Table112324[[#This Row],[b (mm)]]*AC18^2)</f>
        <v>4.3827611395178961E-3</v>
      </c>
      <c r="J18" s="8">
        <f t="shared" si="5"/>
        <v>1.1351950734350125</v>
      </c>
      <c r="K18" s="8">
        <f t="shared" si="6"/>
        <v>2.6542664312034425E-6</v>
      </c>
      <c r="L18" s="8">
        <f>E18/(Table112324[[#This Row],[b (mm)]]*AC18)</f>
        <v>2.7027027027027029E-3</v>
      </c>
      <c r="M18" s="8">
        <f>Table112324[[#This Row],[M (KN.mm)]]/(Table112324[[#This Row],[b (mm)]]*Table112324[[#This Row],[d (mm)]])</f>
        <v>4.0540540540540544</v>
      </c>
      <c r="N18" s="8">
        <f>Table112324[[#This Row],[M (KN.mm)]]/(Table112324[[#This Row],[b (mm)]]*Table112324[[#This Row],[h (mm)]])</f>
        <v>3.75</v>
      </c>
      <c r="O18" s="8">
        <f>Table112324[[#This Row],[M (KN.mm)]]/(Table112324[[#This Row],[b (mm)]]*Table112324[[#This Row],[h (mm)]]*Table112324[[#This Row],[L(mm)]])</f>
        <v>6.2500000000000001E-4</v>
      </c>
      <c r="P18" s="8">
        <f>Table112324[[#This Row],[M (KN.mm)]]/(Table112324[[#This Row],[b (mm)]]*Table112324[[#This Row],[d (mm)]]*Table112324[[#This Row],[L(mm)]])</f>
        <v>6.7567567567567571E-4</v>
      </c>
      <c r="Q18" s="8">
        <f>Table112324[[#This Row],[M (KN.mm)]]/(Table112324[[#This Row],[b (mm)]]*Table112324[[#This Row],[h (mm)]]*Table112324[[#This Row],[L(mm)]]*Table112324[[#This Row],[fc (Mpa)]])</f>
        <v>1.4880952380952381E-5</v>
      </c>
      <c r="R18" s="8">
        <f>Table112324[[#This Row],[M (KN.mm)]]/(Table112324[[#This Row],[b (mm)]]*Table112324[[#This Row],[h (mm)]]*Table112324[[#This Row],[L(mm)]]/2)</f>
        <v>1.25E-3</v>
      </c>
      <c r="S18" s="8">
        <f>Table112324[[#This Row],[M (KN.mm)]]/(Table112324[[#This Row],[a (mm)]]*Table112324[[#This Row],[b (mm)]]*Table112324[[#This Row],[h (mm)]]*Table112324[[#This Row],[L(mm)]]/2)</f>
        <v>4.6296296296296297E-7</v>
      </c>
      <c r="T18" s="8">
        <f>G18/($AN$5*AK18*0.001*Table112324[[#This Row],[pho (%)]])</f>
        <v>2.2482067092085133E-6</v>
      </c>
      <c r="U18" s="8">
        <f>Table112324[[#This Row],[M (KN.mm)]]/(Table112324[[#This Row],[b (mm)]]*Table112324[[#This Row],[d (mm)]]*Table112324[[#This Row],[pho (%)]])</f>
        <v>5.3342816500711239</v>
      </c>
      <c r="V18" s="8">
        <f>E18*224.8/(2*SQRT(Table112324[[#This Row],[fc (Mpa)]]*145.037)*Table112324[[#This Row],[b (mm)]]*Table112324[[#This Row],[d (mm)]]*(1/25.4)^2)</f>
        <v>2.5111229149804544</v>
      </c>
      <c r="W18" s="8">
        <f>Table112324[[#This Row],[M (KN.mm)]]/$G$19</f>
        <v>0.967741935483871</v>
      </c>
      <c r="X18" s="8">
        <f>E18*224.8/(2*SQRT(Table112324[[#This Row],[fc (Mpa)]]*145.037)*Table112324[[#This Row],[b (mm)]]*Table112324[[#This Row],[d (mm)]]*(1/25.4)^2+Table112324[[#This Row],[Av fy d/s (N)]]*0.2248)</f>
        <v>1.82825979594577</v>
      </c>
      <c r="Y18" s="8">
        <v>0.40200000000000002</v>
      </c>
      <c r="Z18" s="8">
        <f>Table112324[[#This Row],[Av fy/(b S) (Mpa)]]*Table112324[[#This Row],[d (mm)]]*Table112324[[#This Row],[b (mm)]]</f>
        <v>111555</v>
      </c>
      <c r="AA18" s="8">
        <f>Table112324[[#This Row],[d (mm)]]/600</f>
        <v>1.5416666666666667</v>
      </c>
      <c r="AB18" s="8">
        <f>Table112324[[#This Row],[a/d]]*Table112324[[#This Row],[d]]</f>
        <v>2700</v>
      </c>
      <c r="AC18" s="8">
        <f>Table112324[[#This Row],[d]]</f>
        <v>925</v>
      </c>
      <c r="AD18" s="8">
        <v>1000</v>
      </c>
      <c r="AE18" s="5">
        <v>300</v>
      </c>
      <c r="AF18" s="5">
        <v>42</v>
      </c>
      <c r="AG18" s="8">
        <f>Table112324[[#This Row],[pho (%)]]/100*Table112324[[#This Row],[b (mm)]]*Table112324[[#This Row],[d (mm)]]</f>
        <v>2109</v>
      </c>
      <c r="AH18" s="15">
        <v>0.76</v>
      </c>
      <c r="AI18" s="8">
        <v>508</v>
      </c>
      <c r="AJ18" s="8">
        <f>(1/3-0.21*(MIN(Table112324[[#This Row],[b (mm)]],AD18)/MAX(Table112324[[#This Row],[b (mm)]],AD18))*(MIN(Table112324[[#This Row],[b (mm)]],AD18)^4/(12*MAX(Table112324[[#This Row],[b (mm)]],AD18)^4)))*MAX(Table112324[[#This Row],[b (mm)]],AD18)*MIN(Table112324[[#This Row],[b (mm)]],AD18)^3</f>
        <v>8998851825</v>
      </c>
      <c r="AK18" s="8">
        <f>Table112324[[#This Row],[b (mm)]]*AD18^3/12</f>
        <v>25000000000</v>
      </c>
      <c r="AL18" s="8">
        <v>6000</v>
      </c>
      <c r="AM18" s="12"/>
      <c r="AN18" s="9"/>
      <c r="AO18" s="12"/>
      <c r="AP18" s="1"/>
    </row>
    <row r="19" spans="1:42" s="10" customFormat="1" x14ac:dyDescent="0.25">
      <c r="A19" s="73" t="s">
        <v>122</v>
      </c>
      <c r="B19" s="15">
        <v>7</v>
      </c>
      <c r="C19" s="3">
        <v>18</v>
      </c>
      <c r="D19" s="64">
        <f>2700/Table112324[[#This Row],[d]]</f>
        <v>2.9189189189189189</v>
      </c>
      <c r="E19" s="8">
        <v>775</v>
      </c>
      <c r="F19" s="3">
        <v>925</v>
      </c>
      <c r="G19" s="8">
        <f t="shared" si="7"/>
        <v>1162500</v>
      </c>
      <c r="H19" s="8">
        <f t="shared" si="4"/>
        <v>1.7655916689650858E-6</v>
      </c>
      <c r="I19" s="8">
        <f>G19/(Table112324[[#This Row],[b (mm)]]*AC19^2)</f>
        <v>4.528853177501826E-3</v>
      </c>
      <c r="J19" s="8">
        <f t="shared" si="5"/>
        <v>1.1730349092161796</v>
      </c>
      <c r="K19" s="8">
        <f t="shared" si="6"/>
        <v>2.7427419789102242E-6</v>
      </c>
      <c r="L19" s="8">
        <f>E19/(Table112324[[#This Row],[b (mm)]]*AC19)</f>
        <v>2.7927927927927929E-3</v>
      </c>
      <c r="M19" s="8">
        <f>Table112324[[#This Row],[M (KN.mm)]]/(Table112324[[#This Row],[b (mm)]]*Table112324[[#This Row],[d (mm)]])</f>
        <v>4.1891891891891895</v>
      </c>
      <c r="N19" s="8">
        <f>Table112324[[#This Row],[M (KN.mm)]]/(Table112324[[#This Row],[b (mm)]]*Table112324[[#This Row],[h (mm)]])</f>
        <v>3.875</v>
      </c>
      <c r="O19" s="8">
        <f>Table112324[[#This Row],[M (KN.mm)]]/(Table112324[[#This Row],[b (mm)]]*Table112324[[#This Row],[h (mm)]]*Table112324[[#This Row],[L(mm)]])</f>
        <v>6.4583333333333333E-4</v>
      </c>
      <c r="P19" s="8">
        <f>Table112324[[#This Row],[M (KN.mm)]]/(Table112324[[#This Row],[b (mm)]]*Table112324[[#This Row],[d (mm)]]*Table112324[[#This Row],[L(mm)]])</f>
        <v>6.9819819819819822E-4</v>
      </c>
      <c r="Q19" s="8">
        <f>Table112324[[#This Row],[M (KN.mm)]]/(Table112324[[#This Row],[b (mm)]]*Table112324[[#This Row],[h (mm)]]*Table112324[[#This Row],[L(mm)]]*Table112324[[#This Row],[fc (Mpa)]])</f>
        <v>1.5376984126984128E-5</v>
      </c>
      <c r="R19" s="8">
        <f>Table112324[[#This Row],[M (KN.mm)]]/(Table112324[[#This Row],[b (mm)]]*Table112324[[#This Row],[h (mm)]]*Table112324[[#This Row],[L(mm)]]/2)</f>
        <v>1.2916666666666667E-3</v>
      </c>
      <c r="S19" s="8">
        <f>Table112324[[#This Row],[M (KN.mm)]]/(Table112324[[#This Row],[a (mm)]]*Table112324[[#This Row],[b (mm)]]*Table112324[[#This Row],[h (mm)]]*Table112324[[#This Row],[L(mm)]]/2)</f>
        <v>4.783950617283951E-7</v>
      </c>
      <c r="T19" s="8">
        <f>G19/($AN$5*AK19*0.001*Table112324[[#This Row],[pho (%)]])</f>
        <v>2.3231469328487971E-6</v>
      </c>
      <c r="U19" s="8">
        <f>Table112324[[#This Row],[M (KN.mm)]]/(Table112324[[#This Row],[b (mm)]]*Table112324[[#This Row],[d (mm)]]*Table112324[[#This Row],[pho (%)]])</f>
        <v>5.5120910384068278</v>
      </c>
      <c r="V19" s="8">
        <f>E19*224.8/(2*SQRT(Table112324[[#This Row],[fc (Mpa)]]*145.037)*Table112324[[#This Row],[b (mm)]]*Table112324[[#This Row],[d (mm)]]*(1/25.4)^2)</f>
        <v>2.5948270121464696</v>
      </c>
      <c r="W19" s="8">
        <f>Table112324[[#This Row],[M (KN.mm)]]/$G$19</f>
        <v>1</v>
      </c>
      <c r="X19" s="8">
        <f>E19*224.8/(2*SQRT(Table112324[[#This Row],[fc (Mpa)]]*145.037)*Table112324[[#This Row],[b (mm)]]*Table112324[[#This Row],[d (mm)]]*(1/25.4)^2+Table112324[[#This Row],[Av fy d/s (N)]]*0.2248)</f>
        <v>1.8892017891439623</v>
      </c>
      <c r="Y19" s="8">
        <v>0.40200000000000002</v>
      </c>
      <c r="Z19" s="8">
        <f>Table112324[[#This Row],[Av fy/(b S) (Mpa)]]*Table112324[[#This Row],[d (mm)]]*Table112324[[#This Row],[b (mm)]]</f>
        <v>111555</v>
      </c>
      <c r="AA19" s="8">
        <f>Table112324[[#This Row],[d (mm)]]/600</f>
        <v>1.5416666666666667</v>
      </c>
      <c r="AB19" s="8">
        <f>Table112324[[#This Row],[a/d]]*Table112324[[#This Row],[d]]</f>
        <v>2700</v>
      </c>
      <c r="AC19" s="8">
        <f>Table112324[[#This Row],[d]]</f>
        <v>925</v>
      </c>
      <c r="AD19" s="8">
        <v>1000</v>
      </c>
      <c r="AE19" s="5">
        <v>300</v>
      </c>
      <c r="AF19" s="5">
        <v>42</v>
      </c>
      <c r="AG19" s="8">
        <f>Table112324[[#This Row],[pho (%)]]/100*Table112324[[#This Row],[b (mm)]]*Table112324[[#This Row],[d (mm)]]</f>
        <v>2109</v>
      </c>
      <c r="AH19" s="15">
        <v>0.76</v>
      </c>
      <c r="AI19" s="8">
        <v>508</v>
      </c>
      <c r="AJ19" s="8">
        <f>(1/3-0.21*(MIN(Table112324[[#This Row],[b (mm)]],AD19)/MAX(Table112324[[#This Row],[b (mm)]],AD19))*(MIN(Table112324[[#This Row],[b (mm)]],AD19)^4/(12*MAX(Table112324[[#This Row],[b (mm)]],AD19)^4)))*MAX(Table112324[[#This Row],[b (mm)]],AD19)*MIN(Table112324[[#This Row],[b (mm)]],AD19)^3</f>
        <v>8998851825</v>
      </c>
      <c r="AK19" s="8">
        <f>Table112324[[#This Row],[b (mm)]]*AD19^3/12</f>
        <v>25000000000</v>
      </c>
      <c r="AL19" s="8">
        <v>6000</v>
      </c>
      <c r="AM19" s="12"/>
      <c r="AN19" s="9"/>
      <c r="AO19" s="12"/>
      <c r="AP19" s="1"/>
    </row>
    <row r="20" spans="1:42" s="10" customFormat="1" x14ac:dyDescent="0.25">
      <c r="A20" s="74" t="s">
        <v>123</v>
      </c>
      <c r="B20" s="15">
        <v>1</v>
      </c>
      <c r="C20" s="3">
        <v>19</v>
      </c>
      <c r="D20" s="64">
        <f>2700/Table112324[[#This Row],[d]]</f>
        <v>2.9189189189189189</v>
      </c>
      <c r="E20" s="8">
        <v>141</v>
      </c>
      <c r="F20" s="3">
        <v>925</v>
      </c>
      <c r="G20" s="8">
        <f t="shared" si="7"/>
        <v>211500</v>
      </c>
      <c r="H20" s="8">
        <f t="shared" ref="H20:H25" si="8">G20/($AN$5*AK20*0.001)</f>
        <v>3.2122377461171236E-7</v>
      </c>
      <c r="I20" s="8">
        <f>G20/(Table112324[[#This Row],[b (mm)]]*AC20^2)</f>
        <v>8.2395909422936452E-4</v>
      </c>
      <c r="J20" s="8">
        <f t="shared" ref="J20:J25" si="9">G20/(AG20*AI20*AC20*0.001)</f>
        <v>0.15447302104037577</v>
      </c>
      <c r="K20" s="8">
        <f t="shared" ref="K20:K25" si="10">E20/($AN$4*AJ20*0.001)</f>
        <v>4.9900208906624726E-7</v>
      </c>
      <c r="L20" s="8">
        <f>E20/(Table112324[[#This Row],[b (mm)]]*AC20)</f>
        <v>5.0810810810810814E-4</v>
      </c>
      <c r="M20" s="8">
        <f>Table112324[[#This Row],[M (KN.mm)]]/(Table112324[[#This Row],[b (mm)]]*Table112324[[#This Row],[d (mm)]])</f>
        <v>0.76216216216216215</v>
      </c>
      <c r="N20" s="8">
        <f>Table112324[[#This Row],[M (KN.mm)]]/(Table112324[[#This Row],[b (mm)]]*Table112324[[#This Row],[h (mm)]])</f>
        <v>0.70499999999999996</v>
      </c>
      <c r="O20" s="8">
        <f>Table112324[[#This Row],[M (KN.mm)]]/(Table112324[[#This Row],[b (mm)]]*Table112324[[#This Row],[h (mm)]]*Table112324[[#This Row],[L(mm)]])</f>
        <v>1.175E-4</v>
      </c>
      <c r="P20" s="8">
        <f>Table112324[[#This Row],[M (KN.mm)]]/(Table112324[[#This Row],[b (mm)]]*Table112324[[#This Row],[d (mm)]]*Table112324[[#This Row],[L(mm)]])</f>
        <v>1.2702702702702703E-4</v>
      </c>
      <c r="Q20" s="8">
        <f>Table112324[[#This Row],[M (KN.mm)]]/(Table112324[[#This Row],[b (mm)]]*Table112324[[#This Row],[h (mm)]]*Table112324[[#This Row],[L(mm)]]*Table112324[[#This Row],[fc (Mpa)]])</f>
        <v>2.7976190476190475E-6</v>
      </c>
      <c r="R20" s="8">
        <f>Table112324[[#This Row],[M (KN.mm)]]/(Table112324[[#This Row],[b (mm)]]*Table112324[[#This Row],[h (mm)]]*Table112324[[#This Row],[L(mm)]]/2)</f>
        <v>2.3499999999999999E-4</v>
      </c>
      <c r="S20" s="8">
        <f>Table112324[[#This Row],[M (KN.mm)]]/(Table112324[[#This Row],[a (mm)]]*Table112324[[#This Row],[b (mm)]]*Table112324[[#This Row],[h (mm)]]*Table112324[[#This Row],[L(mm)]]/2)</f>
        <v>8.7037037037037034E-8</v>
      </c>
      <c r="T20" s="8">
        <f>G20/($AN$5*AK20*0.001*Table112324[[#This Row],[pho (%)]])</f>
        <v>3.05927404392107E-7</v>
      </c>
      <c r="U20" s="8">
        <f>Table112324[[#This Row],[M (KN.mm)]]/(Table112324[[#This Row],[b (mm)]]*Table112324[[#This Row],[d (mm)]]*Table112324[[#This Row],[pho (%)]])</f>
        <v>0.72586872586872586</v>
      </c>
      <c r="V20" s="8">
        <f>E20*224.8/(2*SQRT(Table112324[[#This Row],[fc (Mpa)]]*145.037)*Table112324[[#This Row],[b (mm)]]*Table112324[[#This Row],[d (mm)]]*(1/25.4)^2)</f>
        <v>0.47209110801632542</v>
      </c>
      <c r="W20" s="8">
        <f>Table112324[[#This Row],[M (KN.mm)]]/$G$25</f>
        <v>0.15494505494505495</v>
      </c>
      <c r="X20" s="8">
        <f>E20*224.8/(2*SQRT(Table112324[[#This Row],[fc (Mpa)]]*145.037)*Table112324[[#This Row],[b (mm)]]*Table112324[[#This Row],[d (mm)]]*(1/25.4)^2+Table112324[[#This Row],[Av fy d/s (N)]]*0.2248)</f>
        <v>0.3437128416378048</v>
      </c>
      <c r="Y20" s="8">
        <v>0.40200000000000002</v>
      </c>
      <c r="Z20" s="8">
        <f>Table112324[[#This Row],[Av fy/(b S) (Mpa)]]*Table112324[[#This Row],[d (mm)]]*Table112324[[#This Row],[b (mm)]]</f>
        <v>111555</v>
      </c>
      <c r="AA20" s="8">
        <f>Table112324[[#This Row],[d (mm)]]/600</f>
        <v>1.5416666666666667</v>
      </c>
      <c r="AB20" s="8">
        <f>Table112324[[#This Row],[a/d]]*Table112324[[#This Row],[d]]</f>
        <v>2700</v>
      </c>
      <c r="AC20" s="8">
        <f>Table112324[[#This Row],[d]]</f>
        <v>925</v>
      </c>
      <c r="AD20" s="8">
        <v>1000</v>
      </c>
      <c r="AE20" s="5">
        <v>300</v>
      </c>
      <c r="AF20" s="5">
        <v>42</v>
      </c>
      <c r="AG20" s="8">
        <f>Table112324[[#This Row],[pho (%)]]/100*Table112324[[#This Row],[b (mm)]]*Table112324[[#This Row],[d (mm)]]</f>
        <v>2913.7500000000005</v>
      </c>
      <c r="AH20" s="15">
        <v>1.05</v>
      </c>
      <c r="AI20" s="8">
        <v>508</v>
      </c>
      <c r="AJ20" s="8">
        <f>(1/3-0.21*(MIN(Table112324[[#This Row],[b (mm)]],AD20)/MAX(Table112324[[#This Row],[b (mm)]],AD20))*(MIN(Table112324[[#This Row],[b (mm)]],AD20)^4/(12*MAX(Table112324[[#This Row],[b (mm)]],AD20)^4)))*MAX(Table112324[[#This Row],[b (mm)]],AD20)*MIN(Table112324[[#This Row],[b (mm)]],AD20)^3</f>
        <v>8998851825</v>
      </c>
      <c r="AK20" s="8">
        <f>Table112324[[#This Row],[b (mm)]]*AD20^3/12</f>
        <v>25000000000</v>
      </c>
      <c r="AL20" s="8">
        <v>6000</v>
      </c>
      <c r="AM20" s="12"/>
      <c r="AN20" s="9"/>
      <c r="AO20" s="12"/>
      <c r="AP20" s="1"/>
    </row>
    <row r="21" spans="1:42" s="10" customFormat="1" x14ac:dyDescent="0.25">
      <c r="A21" s="74" t="s">
        <v>123</v>
      </c>
      <c r="B21" s="15">
        <v>2</v>
      </c>
      <c r="C21" s="3">
        <v>20</v>
      </c>
      <c r="D21" s="64">
        <f>2700/Table112324[[#This Row],[d]]</f>
        <v>2.9189189189189189</v>
      </c>
      <c r="E21" s="8">
        <v>300</v>
      </c>
      <c r="F21" s="3">
        <v>925</v>
      </c>
      <c r="G21" s="8">
        <f t="shared" si="7"/>
        <v>450000</v>
      </c>
      <c r="H21" s="8">
        <f t="shared" si="8"/>
        <v>6.8345483959938802E-7</v>
      </c>
      <c r="I21" s="8">
        <f>G21/(Table112324[[#This Row],[b (mm)]]*AC21^2)</f>
        <v>1.7531044558071584E-3</v>
      </c>
      <c r="J21" s="8">
        <f t="shared" si="9"/>
        <v>0.32866600221356546</v>
      </c>
      <c r="K21" s="8">
        <f t="shared" si="10"/>
        <v>1.0617065724813771E-6</v>
      </c>
      <c r="L21" s="8">
        <f>E21/(Table112324[[#This Row],[b (mm)]]*AC21)</f>
        <v>1.0810810810810811E-3</v>
      </c>
      <c r="M21" s="8">
        <f>Table112324[[#This Row],[M (KN.mm)]]/(Table112324[[#This Row],[b (mm)]]*Table112324[[#This Row],[d (mm)]])</f>
        <v>1.6216216216216217</v>
      </c>
      <c r="N21" s="8">
        <f>Table112324[[#This Row],[M (KN.mm)]]/(Table112324[[#This Row],[b (mm)]]*Table112324[[#This Row],[h (mm)]])</f>
        <v>1.5</v>
      </c>
      <c r="O21" s="8">
        <f>Table112324[[#This Row],[M (KN.mm)]]/(Table112324[[#This Row],[b (mm)]]*Table112324[[#This Row],[h (mm)]]*Table112324[[#This Row],[L(mm)]])</f>
        <v>2.5000000000000001E-4</v>
      </c>
      <c r="P21" s="8">
        <f>Table112324[[#This Row],[M (KN.mm)]]/(Table112324[[#This Row],[b (mm)]]*Table112324[[#This Row],[d (mm)]]*Table112324[[#This Row],[L(mm)]])</f>
        <v>2.7027027027027027E-4</v>
      </c>
      <c r="Q21" s="8">
        <f>Table112324[[#This Row],[M (KN.mm)]]/(Table112324[[#This Row],[b (mm)]]*Table112324[[#This Row],[h (mm)]]*Table112324[[#This Row],[L(mm)]]*Table112324[[#This Row],[fc (Mpa)]])</f>
        <v>5.9523809523809525E-6</v>
      </c>
      <c r="R21" s="8">
        <f>Table112324[[#This Row],[M (KN.mm)]]/(Table112324[[#This Row],[b (mm)]]*Table112324[[#This Row],[h (mm)]]*Table112324[[#This Row],[L(mm)]]/2)</f>
        <v>5.0000000000000001E-4</v>
      </c>
      <c r="S21" s="8">
        <f>Table112324[[#This Row],[M (KN.mm)]]/(Table112324[[#This Row],[a (mm)]]*Table112324[[#This Row],[b (mm)]]*Table112324[[#This Row],[h (mm)]]*Table112324[[#This Row],[L(mm)]]/2)</f>
        <v>1.8518518518518518E-7</v>
      </c>
      <c r="T21" s="8">
        <f>G21/($AN$5*AK21*0.001*Table112324[[#This Row],[pho (%)]])</f>
        <v>6.5090937104703626E-7</v>
      </c>
      <c r="U21" s="8">
        <f>Table112324[[#This Row],[M (KN.mm)]]/(Table112324[[#This Row],[b (mm)]]*Table112324[[#This Row],[d (mm)]]*Table112324[[#This Row],[pho (%)]])</f>
        <v>1.5444015444015444</v>
      </c>
      <c r="V21" s="8">
        <f>E21*224.8/(2*SQRT(Table112324[[#This Row],[fc (Mpa)]]*145.037)*Table112324[[#This Row],[b (mm)]]*Table112324[[#This Row],[d (mm)]]*(1/25.4)^2)</f>
        <v>1.0044491659921817</v>
      </c>
      <c r="W21" s="8">
        <f>Table112324[[#This Row],[M (KN.mm)]]/$G$25</f>
        <v>0.32967032967032966</v>
      </c>
      <c r="X21" s="8">
        <f>E21*224.8/(2*SQRT(Table112324[[#This Row],[fc (Mpa)]]*145.037)*Table112324[[#This Row],[b (mm)]]*Table112324[[#This Row],[d (mm)]]*(1/25.4)^2+Table112324[[#This Row],[Av fy d/s (N)]]*0.2248)</f>
        <v>0.73130391837830799</v>
      </c>
      <c r="Y21" s="8">
        <v>0.40200000000000002</v>
      </c>
      <c r="Z21" s="8">
        <f>Table112324[[#This Row],[Av fy/(b S) (Mpa)]]*Table112324[[#This Row],[d (mm)]]*Table112324[[#This Row],[b (mm)]]</f>
        <v>111555</v>
      </c>
      <c r="AA21" s="8">
        <f>Table112324[[#This Row],[d (mm)]]/600</f>
        <v>1.5416666666666667</v>
      </c>
      <c r="AB21" s="8">
        <f>Table112324[[#This Row],[a/d]]*Table112324[[#This Row],[d]]</f>
        <v>2700</v>
      </c>
      <c r="AC21" s="8">
        <f>Table112324[[#This Row],[d]]</f>
        <v>925</v>
      </c>
      <c r="AD21" s="8">
        <v>1000</v>
      </c>
      <c r="AE21" s="5">
        <v>300</v>
      </c>
      <c r="AF21" s="5">
        <v>42</v>
      </c>
      <c r="AG21" s="8">
        <f>Table112324[[#This Row],[pho (%)]]/100*Table112324[[#This Row],[b (mm)]]*Table112324[[#This Row],[d (mm)]]</f>
        <v>2913.7500000000005</v>
      </c>
      <c r="AH21" s="15">
        <v>1.05</v>
      </c>
      <c r="AI21" s="8">
        <v>508</v>
      </c>
      <c r="AJ21" s="8">
        <f>(1/3-0.21*(MIN(Table112324[[#This Row],[b (mm)]],AD21)/MAX(Table112324[[#This Row],[b (mm)]],AD21))*(MIN(Table112324[[#This Row],[b (mm)]],AD21)^4/(12*MAX(Table112324[[#This Row],[b (mm)]],AD21)^4)))*MAX(Table112324[[#This Row],[b (mm)]],AD21)*MIN(Table112324[[#This Row],[b (mm)]],AD21)^3</f>
        <v>8998851825</v>
      </c>
      <c r="AK21" s="8">
        <f>Table112324[[#This Row],[b (mm)]]*AD21^3/12</f>
        <v>25000000000</v>
      </c>
      <c r="AL21" s="8">
        <v>6000</v>
      </c>
      <c r="AM21" s="12"/>
      <c r="AN21" s="9"/>
      <c r="AO21" s="12"/>
      <c r="AP21" s="1"/>
    </row>
    <row r="22" spans="1:42" s="10" customFormat="1" x14ac:dyDescent="0.25">
      <c r="A22" s="74" t="s">
        <v>123</v>
      </c>
      <c r="B22" s="15">
        <v>3</v>
      </c>
      <c r="C22" s="3">
        <v>21</v>
      </c>
      <c r="D22" s="64">
        <f>2700/Table112324[[#This Row],[d]]</f>
        <v>2.9189189189189189</v>
      </c>
      <c r="E22" s="8">
        <v>450</v>
      </c>
      <c r="F22" s="3">
        <v>925</v>
      </c>
      <c r="G22" s="8">
        <f t="shared" si="7"/>
        <v>675000</v>
      </c>
      <c r="H22" s="8">
        <f t="shared" si="8"/>
        <v>1.025182259399082E-6</v>
      </c>
      <c r="I22" s="8">
        <f>G22/(Table112324[[#This Row],[b (mm)]]*AC22^2)</f>
        <v>2.6296566837107379E-3</v>
      </c>
      <c r="J22" s="8">
        <f t="shared" si="9"/>
        <v>0.49299900332034818</v>
      </c>
      <c r="K22" s="8">
        <f t="shared" si="10"/>
        <v>1.5925598587220656E-6</v>
      </c>
      <c r="L22" s="8">
        <f>E22/(Table112324[[#This Row],[b (mm)]]*AC22)</f>
        <v>1.6216216216216215E-3</v>
      </c>
      <c r="M22" s="8">
        <f>Table112324[[#This Row],[M (KN.mm)]]/(Table112324[[#This Row],[b (mm)]]*Table112324[[#This Row],[d (mm)]])</f>
        <v>2.4324324324324325</v>
      </c>
      <c r="N22" s="8">
        <f>Table112324[[#This Row],[M (KN.mm)]]/(Table112324[[#This Row],[b (mm)]]*Table112324[[#This Row],[h (mm)]])</f>
        <v>2.25</v>
      </c>
      <c r="O22" s="8">
        <f>Table112324[[#This Row],[M (KN.mm)]]/(Table112324[[#This Row],[b (mm)]]*Table112324[[#This Row],[h (mm)]]*Table112324[[#This Row],[L(mm)]])</f>
        <v>3.7500000000000001E-4</v>
      </c>
      <c r="P22" s="8">
        <f>Table112324[[#This Row],[M (KN.mm)]]/(Table112324[[#This Row],[b (mm)]]*Table112324[[#This Row],[d (mm)]]*Table112324[[#This Row],[L(mm)]])</f>
        <v>4.0540540540540538E-4</v>
      </c>
      <c r="Q22" s="8">
        <f>Table112324[[#This Row],[M (KN.mm)]]/(Table112324[[#This Row],[b (mm)]]*Table112324[[#This Row],[h (mm)]]*Table112324[[#This Row],[L(mm)]]*Table112324[[#This Row],[fc (Mpa)]])</f>
        <v>8.9285714285714292E-6</v>
      </c>
      <c r="R22" s="8">
        <f>Table112324[[#This Row],[M (KN.mm)]]/(Table112324[[#This Row],[b (mm)]]*Table112324[[#This Row],[h (mm)]]*Table112324[[#This Row],[L(mm)]]/2)</f>
        <v>7.5000000000000002E-4</v>
      </c>
      <c r="S22" s="8">
        <f>Table112324[[#This Row],[M (KN.mm)]]/(Table112324[[#This Row],[a (mm)]]*Table112324[[#This Row],[b (mm)]]*Table112324[[#This Row],[h (mm)]]*Table112324[[#This Row],[L(mm)]]/2)</f>
        <v>2.7777777777777776E-7</v>
      </c>
      <c r="T22" s="8">
        <f>G22/($AN$5*AK22*0.001*Table112324[[#This Row],[pho (%)]])</f>
        <v>9.7636405657055434E-7</v>
      </c>
      <c r="U22" s="8">
        <f>Table112324[[#This Row],[M (KN.mm)]]/(Table112324[[#This Row],[b (mm)]]*Table112324[[#This Row],[d (mm)]]*Table112324[[#This Row],[pho (%)]])</f>
        <v>2.3166023166023164</v>
      </c>
      <c r="V22" s="8">
        <f>E22*224.8/(2*SQRT(Table112324[[#This Row],[fc (Mpa)]]*145.037)*Table112324[[#This Row],[b (mm)]]*Table112324[[#This Row],[d (mm)]]*(1/25.4)^2)</f>
        <v>1.5066737489882727</v>
      </c>
      <c r="W22" s="8">
        <f>Table112324[[#This Row],[M (KN.mm)]]/$G$25</f>
        <v>0.49450549450549453</v>
      </c>
      <c r="X22" s="8">
        <f>E22*224.8/(2*SQRT(Table112324[[#This Row],[fc (Mpa)]]*145.037)*Table112324[[#This Row],[b (mm)]]*Table112324[[#This Row],[d (mm)]]*(1/25.4)^2+Table112324[[#This Row],[Av fy d/s (N)]]*0.2248)</f>
        <v>1.0969558775674619</v>
      </c>
      <c r="Y22" s="8">
        <v>0.40200000000000002</v>
      </c>
      <c r="Z22" s="8">
        <f>Table112324[[#This Row],[Av fy/(b S) (Mpa)]]*Table112324[[#This Row],[d (mm)]]*Table112324[[#This Row],[b (mm)]]</f>
        <v>111555</v>
      </c>
      <c r="AA22" s="8">
        <f>Table112324[[#This Row],[d (mm)]]/600</f>
        <v>1.5416666666666667</v>
      </c>
      <c r="AB22" s="8">
        <f>Table112324[[#This Row],[a/d]]*Table112324[[#This Row],[d]]</f>
        <v>2700</v>
      </c>
      <c r="AC22" s="8">
        <f>Table112324[[#This Row],[d]]</f>
        <v>925</v>
      </c>
      <c r="AD22" s="8">
        <v>1000</v>
      </c>
      <c r="AE22" s="5">
        <v>300</v>
      </c>
      <c r="AF22" s="5">
        <v>42</v>
      </c>
      <c r="AG22" s="8">
        <f>Table112324[[#This Row],[pho (%)]]/100*Table112324[[#This Row],[b (mm)]]*Table112324[[#This Row],[d (mm)]]</f>
        <v>2913.7500000000005</v>
      </c>
      <c r="AH22" s="15">
        <v>1.05</v>
      </c>
      <c r="AI22" s="8">
        <v>508</v>
      </c>
      <c r="AJ22" s="8">
        <f>(1/3-0.21*(MIN(Table112324[[#This Row],[b (mm)]],AD22)/MAX(Table112324[[#This Row],[b (mm)]],AD22))*(MIN(Table112324[[#This Row],[b (mm)]],AD22)^4/(12*MAX(Table112324[[#This Row],[b (mm)]],AD22)^4)))*MAX(Table112324[[#This Row],[b (mm)]],AD22)*MIN(Table112324[[#This Row],[b (mm)]],AD22)^3</f>
        <v>8998851825</v>
      </c>
      <c r="AK22" s="8">
        <f>Table112324[[#This Row],[b (mm)]]*AD22^3/12</f>
        <v>25000000000</v>
      </c>
      <c r="AL22" s="8">
        <v>6000</v>
      </c>
      <c r="AM22" s="12"/>
      <c r="AN22" s="12"/>
      <c r="AO22" s="12"/>
      <c r="AP22" s="1"/>
    </row>
    <row r="23" spans="1:42" s="10" customFormat="1" x14ac:dyDescent="0.25">
      <c r="A23" s="74" t="s">
        <v>123</v>
      </c>
      <c r="B23" s="15">
        <v>4</v>
      </c>
      <c r="C23" s="3">
        <v>22</v>
      </c>
      <c r="D23" s="64">
        <f>2700/Table112324[[#This Row],[d]]</f>
        <v>2.9189189189189189</v>
      </c>
      <c r="E23" s="8">
        <v>600</v>
      </c>
      <c r="F23" s="3">
        <v>925</v>
      </c>
      <c r="G23" s="8">
        <f t="shared" si="7"/>
        <v>900000</v>
      </c>
      <c r="H23" s="8">
        <f t="shared" si="8"/>
        <v>1.366909679198776E-6</v>
      </c>
      <c r="I23" s="8">
        <f>G23/(Table112324[[#This Row],[b (mm)]]*AC23^2)</f>
        <v>3.5062089116143168E-3</v>
      </c>
      <c r="J23" s="8">
        <f t="shared" si="9"/>
        <v>0.65733200442713091</v>
      </c>
      <c r="K23" s="8">
        <f t="shared" si="10"/>
        <v>2.1234131449627543E-6</v>
      </c>
      <c r="L23" s="8">
        <f>E23/(Table112324[[#This Row],[b (mm)]]*AC23)</f>
        <v>2.1621621621621622E-3</v>
      </c>
      <c r="M23" s="8">
        <f>Table112324[[#This Row],[M (KN.mm)]]/(Table112324[[#This Row],[b (mm)]]*Table112324[[#This Row],[d (mm)]])</f>
        <v>3.2432432432432434</v>
      </c>
      <c r="N23" s="8">
        <f>Table112324[[#This Row],[M (KN.mm)]]/(Table112324[[#This Row],[b (mm)]]*Table112324[[#This Row],[h (mm)]])</f>
        <v>3</v>
      </c>
      <c r="O23" s="8">
        <f>Table112324[[#This Row],[M (KN.mm)]]/(Table112324[[#This Row],[b (mm)]]*Table112324[[#This Row],[h (mm)]]*Table112324[[#This Row],[L(mm)]])</f>
        <v>5.0000000000000001E-4</v>
      </c>
      <c r="P23" s="8">
        <f>Table112324[[#This Row],[M (KN.mm)]]/(Table112324[[#This Row],[b (mm)]]*Table112324[[#This Row],[d (mm)]]*Table112324[[#This Row],[L(mm)]])</f>
        <v>5.4054054054054055E-4</v>
      </c>
      <c r="Q23" s="8">
        <f>Table112324[[#This Row],[M (KN.mm)]]/(Table112324[[#This Row],[b (mm)]]*Table112324[[#This Row],[h (mm)]]*Table112324[[#This Row],[L(mm)]]*Table112324[[#This Row],[fc (Mpa)]])</f>
        <v>1.1904761904761905E-5</v>
      </c>
      <c r="R23" s="8">
        <f>Table112324[[#This Row],[M (KN.mm)]]/(Table112324[[#This Row],[b (mm)]]*Table112324[[#This Row],[h (mm)]]*Table112324[[#This Row],[L(mm)]]/2)</f>
        <v>1E-3</v>
      </c>
      <c r="S23" s="8">
        <f>Table112324[[#This Row],[M (KN.mm)]]/(Table112324[[#This Row],[a (mm)]]*Table112324[[#This Row],[b (mm)]]*Table112324[[#This Row],[h (mm)]]*Table112324[[#This Row],[L(mm)]]/2)</f>
        <v>3.7037037037037036E-7</v>
      </c>
      <c r="T23" s="8">
        <f>G23/($AN$5*AK23*0.001*Table112324[[#This Row],[pho (%)]])</f>
        <v>1.3018187420940725E-6</v>
      </c>
      <c r="U23" s="8">
        <f>Table112324[[#This Row],[M (KN.mm)]]/(Table112324[[#This Row],[b (mm)]]*Table112324[[#This Row],[d (mm)]]*Table112324[[#This Row],[pho (%)]])</f>
        <v>3.0888030888030888</v>
      </c>
      <c r="V23" s="8">
        <f>E23*224.8/(2*SQRT(Table112324[[#This Row],[fc (Mpa)]]*145.037)*Table112324[[#This Row],[b (mm)]]*Table112324[[#This Row],[d (mm)]]*(1/25.4)^2)</f>
        <v>2.0088983319843634</v>
      </c>
      <c r="W23" s="8">
        <f>Table112324[[#This Row],[M (KN.mm)]]/$G$25</f>
        <v>0.65934065934065933</v>
      </c>
      <c r="X23" s="8">
        <f>E23*224.8/(2*SQRT(Table112324[[#This Row],[fc (Mpa)]]*145.037)*Table112324[[#This Row],[b (mm)]]*Table112324[[#This Row],[d (mm)]]*(1/25.4)^2+Table112324[[#This Row],[Av fy d/s (N)]]*0.2248)</f>
        <v>1.462607836756616</v>
      </c>
      <c r="Y23" s="8">
        <v>0.40200000000000002</v>
      </c>
      <c r="Z23" s="8">
        <f>Table112324[[#This Row],[Av fy/(b S) (Mpa)]]*Table112324[[#This Row],[d (mm)]]*Table112324[[#This Row],[b (mm)]]</f>
        <v>111555</v>
      </c>
      <c r="AA23" s="8">
        <f>Table112324[[#This Row],[d (mm)]]/600</f>
        <v>1.5416666666666667</v>
      </c>
      <c r="AB23" s="8">
        <f>Table112324[[#This Row],[a/d]]*Table112324[[#This Row],[d]]</f>
        <v>2700</v>
      </c>
      <c r="AC23" s="8">
        <f>Table112324[[#This Row],[d]]</f>
        <v>925</v>
      </c>
      <c r="AD23" s="8">
        <v>1000</v>
      </c>
      <c r="AE23" s="5">
        <v>300</v>
      </c>
      <c r="AF23" s="5">
        <v>42</v>
      </c>
      <c r="AG23" s="8">
        <f>Table112324[[#This Row],[pho (%)]]/100*Table112324[[#This Row],[b (mm)]]*Table112324[[#This Row],[d (mm)]]</f>
        <v>2913.7500000000005</v>
      </c>
      <c r="AH23" s="15">
        <v>1.05</v>
      </c>
      <c r="AI23" s="8">
        <v>508</v>
      </c>
      <c r="AJ23" s="8">
        <f>(1/3-0.21*(MIN(Table112324[[#This Row],[b (mm)]],AD23)/MAX(Table112324[[#This Row],[b (mm)]],AD23))*(MIN(Table112324[[#This Row],[b (mm)]],AD23)^4/(12*MAX(Table112324[[#This Row],[b (mm)]],AD23)^4)))*MAX(Table112324[[#This Row],[b (mm)]],AD23)*MIN(Table112324[[#This Row],[b (mm)]],AD23)^3</f>
        <v>8998851825</v>
      </c>
      <c r="AK23" s="8">
        <f>Table112324[[#This Row],[b (mm)]]*AD23^3/12</f>
        <v>25000000000</v>
      </c>
      <c r="AL23" s="8">
        <v>6000</v>
      </c>
      <c r="AM23" s="12"/>
      <c r="AN23" s="12"/>
      <c r="AO23" s="12"/>
      <c r="AP23" s="1"/>
    </row>
    <row r="24" spans="1:42" s="10" customFormat="1" x14ac:dyDescent="0.25">
      <c r="A24" s="74" t="s">
        <v>123</v>
      </c>
      <c r="B24" s="15">
        <v>5</v>
      </c>
      <c r="C24" s="3">
        <v>23</v>
      </c>
      <c r="D24" s="64">
        <f>2700/Table112324[[#This Row],[d]]</f>
        <v>2.9189189189189189</v>
      </c>
      <c r="E24" s="8">
        <v>750</v>
      </c>
      <c r="F24" s="3">
        <v>925</v>
      </c>
      <c r="G24" s="8">
        <f t="shared" si="7"/>
        <v>1125000</v>
      </c>
      <c r="H24" s="8">
        <f t="shared" si="8"/>
        <v>1.7086370989984701E-6</v>
      </c>
      <c r="I24" s="8">
        <f>G24/(Table112324[[#This Row],[b (mm)]]*AC24^2)</f>
        <v>4.3827611395178961E-3</v>
      </c>
      <c r="J24" s="8">
        <f t="shared" si="9"/>
        <v>0.82166500553391364</v>
      </c>
      <c r="K24" s="8">
        <f t="shared" si="10"/>
        <v>2.6542664312034425E-6</v>
      </c>
      <c r="L24" s="8">
        <f>E24/(Table112324[[#This Row],[b (mm)]]*AC24)</f>
        <v>2.7027027027027029E-3</v>
      </c>
      <c r="M24" s="8">
        <f>Table112324[[#This Row],[M (KN.mm)]]/(Table112324[[#This Row],[b (mm)]]*Table112324[[#This Row],[d (mm)]])</f>
        <v>4.0540540540540544</v>
      </c>
      <c r="N24" s="8">
        <f>Table112324[[#This Row],[M (KN.mm)]]/(Table112324[[#This Row],[b (mm)]]*Table112324[[#This Row],[h (mm)]])</f>
        <v>3.75</v>
      </c>
      <c r="O24" s="8">
        <f>Table112324[[#This Row],[M (KN.mm)]]/(Table112324[[#This Row],[b (mm)]]*Table112324[[#This Row],[h (mm)]]*Table112324[[#This Row],[L(mm)]])</f>
        <v>6.2500000000000001E-4</v>
      </c>
      <c r="P24" s="8">
        <f>Table112324[[#This Row],[M (KN.mm)]]/(Table112324[[#This Row],[b (mm)]]*Table112324[[#This Row],[d (mm)]]*Table112324[[#This Row],[L(mm)]])</f>
        <v>6.7567567567567571E-4</v>
      </c>
      <c r="Q24" s="8">
        <f>Table112324[[#This Row],[M (KN.mm)]]/(Table112324[[#This Row],[b (mm)]]*Table112324[[#This Row],[h (mm)]]*Table112324[[#This Row],[L(mm)]]*Table112324[[#This Row],[fc (Mpa)]])</f>
        <v>1.4880952380952381E-5</v>
      </c>
      <c r="R24" s="8">
        <f>Table112324[[#This Row],[M (KN.mm)]]/(Table112324[[#This Row],[b (mm)]]*Table112324[[#This Row],[h (mm)]]*Table112324[[#This Row],[L(mm)]]/2)</f>
        <v>1.25E-3</v>
      </c>
      <c r="S24" s="8">
        <f>Table112324[[#This Row],[M (KN.mm)]]/(Table112324[[#This Row],[a (mm)]]*Table112324[[#This Row],[b (mm)]]*Table112324[[#This Row],[h (mm)]]*Table112324[[#This Row],[L(mm)]]/2)</f>
        <v>4.6296296296296297E-7</v>
      </c>
      <c r="T24" s="8">
        <f>G24/($AN$5*AK24*0.001*Table112324[[#This Row],[pho (%)]])</f>
        <v>1.6272734276175905E-6</v>
      </c>
      <c r="U24" s="8">
        <f>Table112324[[#This Row],[M (KN.mm)]]/(Table112324[[#This Row],[b (mm)]]*Table112324[[#This Row],[d (mm)]]*Table112324[[#This Row],[pho (%)]])</f>
        <v>3.8610038610038608</v>
      </c>
      <c r="V24" s="8">
        <f>E24*224.8/(2*SQRT(Table112324[[#This Row],[fc (Mpa)]]*145.037)*Table112324[[#This Row],[b (mm)]]*Table112324[[#This Row],[d (mm)]]*(1/25.4)^2)</f>
        <v>2.5111229149804544</v>
      </c>
      <c r="W24" s="8">
        <f>Table112324[[#This Row],[M (KN.mm)]]/$G$25</f>
        <v>0.82417582417582413</v>
      </c>
      <c r="X24" s="8">
        <f>E24*224.8/(2*SQRT(Table112324[[#This Row],[fc (Mpa)]]*145.037)*Table112324[[#This Row],[b (mm)]]*Table112324[[#This Row],[d (mm)]]*(1/25.4)^2+Table112324[[#This Row],[Av fy d/s (N)]]*0.2248)</f>
        <v>1.82825979594577</v>
      </c>
      <c r="Y24" s="8">
        <v>0.40200000000000002</v>
      </c>
      <c r="Z24" s="8">
        <f>Table112324[[#This Row],[Av fy/(b S) (Mpa)]]*Table112324[[#This Row],[d (mm)]]*Table112324[[#This Row],[b (mm)]]</f>
        <v>111555</v>
      </c>
      <c r="AA24" s="8">
        <f>Table112324[[#This Row],[d (mm)]]/600</f>
        <v>1.5416666666666667</v>
      </c>
      <c r="AB24" s="8">
        <f>Table112324[[#This Row],[a/d]]*Table112324[[#This Row],[d]]</f>
        <v>2700</v>
      </c>
      <c r="AC24" s="8">
        <f>Table112324[[#This Row],[d]]</f>
        <v>925</v>
      </c>
      <c r="AD24" s="8">
        <v>1000</v>
      </c>
      <c r="AE24" s="5">
        <v>300</v>
      </c>
      <c r="AF24" s="5">
        <v>42</v>
      </c>
      <c r="AG24" s="8">
        <f>Table112324[[#This Row],[pho (%)]]/100*Table112324[[#This Row],[b (mm)]]*Table112324[[#This Row],[d (mm)]]</f>
        <v>2913.7500000000005</v>
      </c>
      <c r="AH24" s="15">
        <v>1.05</v>
      </c>
      <c r="AI24" s="8">
        <v>508</v>
      </c>
      <c r="AJ24" s="8">
        <f>(1/3-0.21*(MIN(Table112324[[#This Row],[b (mm)]],AD24)/MAX(Table112324[[#This Row],[b (mm)]],AD24))*(MIN(Table112324[[#This Row],[b (mm)]],AD24)^4/(12*MAX(Table112324[[#This Row],[b (mm)]],AD24)^4)))*MAX(Table112324[[#This Row],[b (mm)]],AD24)*MIN(Table112324[[#This Row],[b (mm)]],AD24)^3</f>
        <v>8998851825</v>
      </c>
      <c r="AK24" s="8">
        <f>Table112324[[#This Row],[b (mm)]]*AD24^3/12</f>
        <v>25000000000</v>
      </c>
      <c r="AL24" s="8">
        <v>6000</v>
      </c>
      <c r="AM24" s="12"/>
      <c r="AN24" s="12"/>
      <c r="AO24" s="12"/>
      <c r="AP24" s="1"/>
    </row>
    <row r="25" spans="1:42" s="10" customFormat="1" x14ac:dyDescent="0.25">
      <c r="A25" s="74" t="s">
        <v>123</v>
      </c>
      <c r="B25" s="15">
        <v>6</v>
      </c>
      <c r="C25" s="3">
        <v>24</v>
      </c>
      <c r="D25" s="64">
        <f>2700/Table112324[[#This Row],[d]]</f>
        <v>2.9189189189189189</v>
      </c>
      <c r="E25" s="8">
        <v>910</v>
      </c>
      <c r="F25" s="3">
        <v>925</v>
      </c>
      <c r="G25" s="8">
        <f>E25*AL25/4</f>
        <v>1365000</v>
      </c>
      <c r="H25" s="8">
        <f t="shared" si="8"/>
        <v>2.0731463467848102E-6</v>
      </c>
      <c r="I25" s="8">
        <f>G25/(Table112324[[#This Row],[b (mm)]]*AC25^2)</f>
        <v>5.3177501826150476E-3</v>
      </c>
      <c r="J25" s="8">
        <f t="shared" si="9"/>
        <v>0.99695354004781522</v>
      </c>
      <c r="K25" s="8">
        <f t="shared" si="10"/>
        <v>3.2205099365268439E-6</v>
      </c>
      <c r="L25" s="8">
        <f>E25/(Table112324[[#This Row],[b (mm)]]*AC25)</f>
        <v>3.2792792792792794E-3</v>
      </c>
      <c r="M25" s="8">
        <f>Table112324[[#This Row],[M (KN.mm)]]/(Table112324[[#This Row],[b (mm)]]*Table112324[[#This Row],[d (mm)]])</f>
        <v>4.9189189189189193</v>
      </c>
      <c r="N25" s="8">
        <f>Table112324[[#This Row],[M (KN.mm)]]/(Table112324[[#This Row],[b (mm)]]*Table112324[[#This Row],[h (mm)]])</f>
        <v>4.55</v>
      </c>
      <c r="O25" s="8">
        <f>Table112324[[#This Row],[M (KN.mm)]]/(Table112324[[#This Row],[b (mm)]]*Table112324[[#This Row],[h (mm)]]*Table112324[[#This Row],[L(mm)]])</f>
        <v>7.583333333333333E-4</v>
      </c>
      <c r="P25" s="8">
        <f>Table112324[[#This Row],[M (KN.mm)]]/(Table112324[[#This Row],[b (mm)]]*Table112324[[#This Row],[d (mm)]]*Table112324[[#This Row],[L(mm)]])</f>
        <v>8.1981981981981984E-4</v>
      </c>
      <c r="Q25" s="8">
        <f>Table112324[[#This Row],[M (KN.mm)]]/(Table112324[[#This Row],[b (mm)]]*Table112324[[#This Row],[h (mm)]]*Table112324[[#This Row],[L(mm)]]*Table112324[[#This Row],[fc (Mpa)]])</f>
        <v>1.8055555555555555E-5</v>
      </c>
      <c r="R25" s="8">
        <f>Table112324[[#This Row],[M (KN.mm)]]/(Table112324[[#This Row],[b (mm)]]*Table112324[[#This Row],[h (mm)]]*Table112324[[#This Row],[L(mm)]]/2)</f>
        <v>1.5166666666666666E-3</v>
      </c>
      <c r="S25" s="8">
        <f>Table112324[[#This Row],[M (KN.mm)]]/(Table112324[[#This Row],[a (mm)]]*Table112324[[#This Row],[b (mm)]]*Table112324[[#This Row],[h (mm)]]*Table112324[[#This Row],[L(mm)]]/2)</f>
        <v>5.6172839506172842E-7</v>
      </c>
      <c r="T25" s="8">
        <f>G25/($AN$5*AK25*0.001*Table112324[[#This Row],[pho (%)]])</f>
        <v>1.9744250921760097E-6</v>
      </c>
      <c r="U25" s="8">
        <f>Table112324[[#This Row],[M (KN.mm)]]/(Table112324[[#This Row],[b (mm)]]*Table112324[[#This Row],[d (mm)]]*Table112324[[#This Row],[pho (%)]])</f>
        <v>4.6846846846846848</v>
      </c>
      <c r="V25" s="8">
        <f>E25*224.8/(2*SQRT(Table112324[[#This Row],[fc (Mpa)]]*145.037)*Table112324[[#This Row],[b (mm)]]*Table112324[[#This Row],[d (mm)]]*(1/25.4)^2)</f>
        <v>3.046829136842951</v>
      </c>
      <c r="W25" s="8">
        <f>Table112324[[#This Row],[M (KN.mm)]]/$G$25</f>
        <v>1</v>
      </c>
      <c r="X25" s="8">
        <f>E25*224.8/(2*SQRT(Table112324[[#This Row],[fc (Mpa)]]*145.037)*Table112324[[#This Row],[b (mm)]]*Table112324[[#This Row],[d (mm)]]*(1/25.4)^2+Table112324[[#This Row],[Av fy d/s (N)]]*0.2248)</f>
        <v>2.2182885524142009</v>
      </c>
      <c r="Y25" s="8">
        <v>0.40200000000000002</v>
      </c>
      <c r="Z25" s="8">
        <f>Table112324[[#This Row],[Av fy/(b S) (Mpa)]]*Table112324[[#This Row],[d (mm)]]*Table112324[[#This Row],[b (mm)]]</f>
        <v>111555</v>
      </c>
      <c r="AA25" s="8">
        <f>Table112324[[#This Row],[d (mm)]]/600</f>
        <v>1.5416666666666667</v>
      </c>
      <c r="AB25" s="8">
        <f>Table112324[[#This Row],[a/d]]*Table112324[[#This Row],[d]]</f>
        <v>2700</v>
      </c>
      <c r="AC25" s="8">
        <f>Table112324[[#This Row],[d]]</f>
        <v>925</v>
      </c>
      <c r="AD25" s="8">
        <v>1000</v>
      </c>
      <c r="AE25" s="5">
        <v>300</v>
      </c>
      <c r="AF25" s="5">
        <v>42</v>
      </c>
      <c r="AG25" s="8">
        <f>Table112324[[#This Row],[pho (%)]]/100*Table112324[[#This Row],[b (mm)]]*Table112324[[#This Row],[d (mm)]]</f>
        <v>2913.7500000000005</v>
      </c>
      <c r="AH25" s="15">
        <v>1.05</v>
      </c>
      <c r="AI25" s="8">
        <v>508</v>
      </c>
      <c r="AJ25" s="8">
        <f>(1/3-0.21*(MIN(Table112324[[#This Row],[b (mm)]],AD25)/MAX(Table112324[[#This Row],[b (mm)]],AD25))*(MIN(Table112324[[#This Row],[b (mm)]],AD25)^4/(12*MAX(Table112324[[#This Row],[b (mm)]],AD25)^4)))*MAX(Table112324[[#This Row],[b (mm)]],AD25)*MIN(Table112324[[#This Row],[b (mm)]],AD25)^3</f>
        <v>8998851825</v>
      </c>
      <c r="AK25" s="8">
        <f>Table112324[[#This Row],[b (mm)]]*AD25^3/12</f>
        <v>25000000000</v>
      </c>
      <c r="AL25" s="8">
        <v>6000</v>
      </c>
      <c r="AM25" s="12"/>
      <c r="AN25" s="12"/>
      <c r="AO25" s="12"/>
      <c r="AP25" s="1"/>
    </row>
    <row r="26" spans="1:42" s="10" customFormat="1" x14ac:dyDescent="0.25">
      <c r="A26" s="24" t="s">
        <v>124</v>
      </c>
      <c r="B26" s="15">
        <v>1</v>
      </c>
      <c r="C26" s="3">
        <v>25</v>
      </c>
      <c r="D26" s="15">
        <f>810/Table112324[[#This Row],[d]]</f>
        <v>3</v>
      </c>
      <c r="E26" s="15">
        <v>35</v>
      </c>
      <c r="F26" s="15">
        <v>270</v>
      </c>
      <c r="G26" s="8">
        <f t="shared" ref="G26:G34" si="11">E26*AB26</f>
        <v>28350</v>
      </c>
      <c r="H26" s="8">
        <f t="shared" ref="H26:H34" si="12">G26/($AN$5*AK26*0.001)</f>
        <v>1.5947279590652385E-6</v>
      </c>
      <c r="I26" s="8">
        <f>G26/(Table112324[[#This Row],[b (mm)]]*AC26^2)</f>
        <v>1.2962962962962963E-3</v>
      </c>
      <c r="J26" s="8">
        <f t="shared" ref="J26:J34" si="13">G26/(AG26*AI26*AC26*0.001)</f>
        <v>0.18626017246627627</v>
      </c>
      <c r="K26" s="8">
        <f t="shared" ref="K26:K34" si="14">E26/($AN$4*AJ26*0.001)</f>
        <v>4.3570787903006455E-7</v>
      </c>
      <c r="L26" s="8">
        <f>E26/(Table112324[[#This Row],[b (mm)]]*AC26)</f>
        <v>4.3209876543209879E-4</v>
      </c>
      <c r="M26" s="8">
        <f>Table112324[[#This Row],[M (KN.mm)]]/(Table112324[[#This Row],[b (mm)]]*Table112324[[#This Row],[d (mm)]])</f>
        <v>0.35</v>
      </c>
      <c r="N26" s="8">
        <f>Table112324[[#This Row],[M (KN.mm)]]/(Table112324[[#This Row],[b (mm)]]*Table112324[[#This Row],[h (mm)]])</f>
        <v>0.315</v>
      </c>
      <c r="O26" s="8">
        <f>Table112324[[#This Row],[M (KN.mm)]]/(Table112324[[#This Row],[b (mm)]]*Table112324[[#This Row],[h (mm)]]*Table112324[[#This Row],[L(mm)]])</f>
        <v>1.75E-4</v>
      </c>
      <c r="P26" s="8">
        <f>Table112324[[#This Row],[M (KN.mm)]]/(Table112324[[#This Row],[b (mm)]]*Table112324[[#This Row],[d (mm)]]*Table112324[[#This Row],[L(mm)]])</f>
        <v>1.9444444444444443E-4</v>
      </c>
      <c r="Q26" s="8">
        <f>Table112324[[#This Row],[M (KN.mm)]]/(Table112324[[#This Row],[b (mm)]]*Table112324[[#This Row],[h (mm)]]*Table112324[[#This Row],[L(mm)]]*Table112324[[#This Row],[fc (Mpa)]])</f>
        <v>4.2682926829268292E-6</v>
      </c>
      <c r="R26" s="8">
        <f>Table112324[[#This Row],[M (KN.mm)]]/(Table112324[[#This Row],[b (mm)]]*Table112324[[#This Row],[h (mm)]]*Table112324[[#This Row],[L(mm)]]/2)</f>
        <v>3.5E-4</v>
      </c>
      <c r="S26" s="8">
        <f>Table112324[[#This Row],[M (KN.mm)]]/(Table112324[[#This Row],[a (mm)]]*Table112324[[#This Row],[b (mm)]]*Table112324[[#This Row],[h (mm)]]*Table112324[[#This Row],[L(mm)]]/2)</f>
        <v>4.3209876543209875E-7</v>
      </c>
      <c r="T26" s="8">
        <f>G26/($AN$5*AK26*0.001*Table112324[[#This Row],[pho (%)]])</f>
        <v>1.1640350066169622E-6</v>
      </c>
      <c r="U26" s="8">
        <f>Table112324[[#This Row],[M (KN.mm)]]/(Table112324[[#This Row],[b (mm)]]*Table112324[[#This Row],[d (mm)]]*Table112324[[#This Row],[pho (%)]])</f>
        <v>0.25547445255474449</v>
      </c>
      <c r="V26" s="8">
        <f>E26*224.8/(2*SQRT(Table112324[[#This Row],[fc (Mpa)]]*145.037)*Table112324[[#This Row],[b (mm)]]*Table112324[[#This Row],[d (mm)]]*(1/25.4)^2)</f>
        <v>0.40633612770480027</v>
      </c>
      <c r="W26" s="8">
        <f>Table112324[[#This Row],[M (KN.mm)]]/$G$34</f>
        <v>0.37634408602150538</v>
      </c>
      <c r="X26" s="8">
        <f>E26*224.8/(2*SQRT(Table112324[[#This Row],[fc (Mpa)]]*145.037)*Table112324[[#This Row],[b (mm)]]*Table112324[[#This Row],[d (mm)]]*(1/25.4)^2+Table112324[[#This Row],[Av fy d/s (N)]]*0.2248)</f>
        <v>0.34391752677188442</v>
      </c>
      <c r="Y26" s="15">
        <v>0.193</v>
      </c>
      <c r="Z26" s="8">
        <f>Table112324[[#This Row],[Av fy/(b S) (Mpa)]]*Table112324[[#This Row],[d (mm)]]*Table112324[[#This Row],[b (mm)]]</f>
        <v>15633</v>
      </c>
      <c r="AA26" s="8">
        <f>Table112324[[#This Row],[d (mm)]]/98</f>
        <v>2.7551020408163267</v>
      </c>
      <c r="AB26" s="8">
        <f>Table112324[[#This Row],[a/d]]*Table112324[[#This Row],[d]]</f>
        <v>810</v>
      </c>
      <c r="AC26" s="15">
        <v>270</v>
      </c>
      <c r="AD26" s="15">
        <v>300</v>
      </c>
      <c r="AE26" s="15">
        <v>300</v>
      </c>
      <c r="AF26" s="15">
        <v>41</v>
      </c>
      <c r="AG26" s="8">
        <f>Table112324[[#This Row],[pho (%)]]/100*Table112324[[#This Row],[b (mm)]]*Table112324[[#This Row],[d (mm)]]</f>
        <v>1109.7</v>
      </c>
      <c r="AH26" s="15">
        <v>1.37</v>
      </c>
      <c r="AI26" s="8">
        <v>508</v>
      </c>
      <c r="AJ26" s="8">
        <f>(1/3-0.21*(MIN(Table112324[[#This Row],[b (mm)]],AD26)/MAX(Table112324[[#This Row],[b (mm)]],AD26))*(MIN(Table112324[[#This Row],[b (mm)]],AD26)^4/(12*MAX(Table112324[[#This Row],[b (mm)]],AD26)^4)))*MAX(Table112324[[#This Row],[b (mm)]],AD26)*MIN(Table112324[[#This Row],[b (mm)]],AD26)^3</f>
        <v>2558249999.9999995</v>
      </c>
      <c r="AK26" s="8">
        <f>Table112324[[#This Row],[b (mm)]]*AD26^3/12</f>
        <v>675000000</v>
      </c>
      <c r="AL26" s="8">
        <v>1800</v>
      </c>
      <c r="AM26" s="12"/>
      <c r="AN26" s="12"/>
      <c r="AO26" s="12"/>
      <c r="AP26" s="1"/>
    </row>
    <row r="27" spans="1:42" s="10" customFormat="1" x14ac:dyDescent="0.25">
      <c r="A27" s="24" t="s">
        <v>124</v>
      </c>
      <c r="B27" s="15">
        <v>2</v>
      </c>
      <c r="C27" s="3">
        <v>26</v>
      </c>
      <c r="D27" s="15">
        <f>810/Table112324[[#This Row],[d]]</f>
        <v>3</v>
      </c>
      <c r="E27" s="15">
        <v>50</v>
      </c>
      <c r="F27" s="15">
        <v>270</v>
      </c>
      <c r="G27" s="8">
        <f t="shared" si="11"/>
        <v>40500</v>
      </c>
      <c r="H27" s="8">
        <f t="shared" si="12"/>
        <v>2.2781827986646266E-6</v>
      </c>
      <c r="I27" s="8">
        <f>G27/(Table112324[[#This Row],[b (mm)]]*AC27^2)</f>
        <v>1.8518518518518519E-3</v>
      </c>
      <c r="J27" s="8">
        <f t="shared" si="13"/>
        <v>0.26608596066610896</v>
      </c>
      <c r="K27" s="8">
        <f t="shared" si="14"/>
        <v>6.2243982718580654E-7</v>
      </c>
      <c r="L27" s="8">
        <f>E27/(Table112324[[#This Row],[b (mm)]]*AC27)</f>
        <v>6.1728395061728394E-4</v>
      </c>
      <c r="M27" s="8">
        <f>Table112324[[#This Row],[M (KN.mm)]]/(Table112324[[#This Row],[b (mm)]]*Table112324[[#This Row],[d (mm)]])</f>
        <v>0.5</v>
      </c>
      <c r="N27" s="8">
        <f>Table112324[[#This Row],[M (KN.mm)]]/(Table112324[[#This Row],[b (mm)]]*Table112324[[#This Row],[h (mm)]])</f>
        <v>0.45</v>
      </c>
      <c r="O27" s="8">
        <f>Table112324[[#This Row],[M (KN.mm)]]/(Table112324[[#This Row],[b (mm)]]*Table112324[[#This Row],[h (mm)]]*Table112324[[#This Row],[L(mm)]])</f>
        <v>2.5000000000000001E-4</v>
      </c>
      <c r="P27" s="8">
        <f>Table112324[[#This Row],[M (KN.mm)]]/(Table112324[[#This Row],[b (mm)]]*Table112324[[#This Row],[d (mm)]]*Table112324[[#This Row],[L(mm)]])</f>
        <v>2.7777777777777778E-4</v>
      </c>
      <c r="Q27" s="8">
        <f>Table112324[[#This Row],[M (KN.mm)]]/(Table112324[[#This Row],[b (mm)]]*Table112324[[#This Row],[h (mm)]]*Table112324[[#This Row],[L(mm)]]*Table112324[[#This Row],[fc (Mpa)]])</f>
        <v>6.0975609756097564E-6</v>
      </c>
      <c r="R27" s="8">
        <f>Table112324[[#This Row],[M (KN.mm)]]/(Table112324[[#This Row],[b (mm)]]*Table112324[[#This Row],[h (mm)]]*Table112324[[#This Row],[L(mm)]]/2)</f>
        <v>5.0000000000000001E-4</v>
      </c>
      <c r="S27" s="8">
        <f>Table112324[[#This Row],[M (KN.mm)]]/(Table112324[[#This Row],[a (mm)]]*Table112324[[#This Row],[b (mm)]]*Table112324[[#This Row],[h (mm)]]*Table112324[[#This Row],[L(mm)]]/2)</f>
        <v>6.1728395061728396E-7</v>
      </c>
      <c r="T27" s="8">
        <f>G27/($AN$5*AK27*0.001*Table112324[[#This Row],[pho (%)]])</f>
        <v>1.662907152309946E-6</v>
      </c>
      <c r="U27" s="8">
        <f>Table112324[[#This Row],[M (KN.mm)]]/(Table112324[[#This Row],[b (mm)]]*Table112324[[#This Row],[d (mm)]]*Table112324[[#This Row],[pho (%)]])</f>
        <v>0.36496350364963498</v>
      </c>
      <c r="V27" s="8">
        <f>E27*224.8/(2*SQRT(Table112324[[#This Row],[fc (Mpa)]]*145.037)*Table112324[[#This Row],[b (mm)]]*Table112324[[#This Row],[d (mm)]]*(1/25.4)^2)</f>
        <v>0.58048018243542898</v>
      </c>
      <c r="W27" s="8">
        <f>Table112324[[#This Row],[M (KN.mm)]]/$G$34</f>
        <v>0.5376344086021505</v>
      </c>
      <c r="X27" s="8">
        <f>E27*224.8/(2*SQRT(Table112324[[#This Row],[fc (Mpa)]]*145.037)*Table112324[[#This Row],[b (mm)]]*Table112324[[#This Row],[d (mm)]]*(1/25.4)^2+Table112324[[#This Row],[Av fy d/s (N)]]*0.2248)</f>
        <v>0.49131075253126344</v>
      </c>
      <c r="Y27" s="15">
        <v>0.193</v>
      </c>
      <c r="Z27" s="8">
        <f>Table112324[[#This Row],[Av fy/(b S) (Mpa)]]*Table112324[[#This Row],[d (mm)]]*Table112324[[#This Row],[b (mm)]]</f>
        <v>15633</v>
      </c>
      <c r="AA27" s="8">
        <f>Table112324[[#This Row],[d (mm)]]/98</f>
        <v>2.7551020408163267</v>
      </c>
      <c r="AB27" s="8">
        <f>Table112324[[#This Row],[a/d]]*Table112324[[#This Row],[d]]</f>
        <v>810</v>
      </c>
      <c r="AC27" s="15">
        <v>270</v>
      </c>
      <c r="AD27" s="15">
        <v>300</v>
      </c>
      <c r="AE27" s="15">
        <v>300</v>
      </c>
      <c r="AF27" s="15">
        <v>41</v>
      </c>
      <c r="AG27" s="8">
        <f>Table112324[[#This Row],[pho (%)]]/100*Table112324[[#This Row],[b (mm)]]*Table112324[[#This Row],[d (mm)]]</f>
        <v>1109.7</v>
      </c>
      <c r="AH27" s="15">
        <v>1.37</v>
      </c>
      <c r="AI27" s="8">
        <v>508</v>
      </c>
      <c r="AJ27" s="8">
        <f>(1/3-0.21*(MIN(Table112324[[#This Row],[b (mm)]],AD27)/MAX(Table112324[[#This Row],[b (mm)]],AD27))*(MIN(Table112324[[#This Row],[b (mm)]],AD27)^4/(12*MAX(Table112324[[#This Row],[b (mm)]],AD27)^4)))*MAX(Table112324[[#This Row],[b (mm)]],AD27)*MIN(Table112324[[#This Row],[b (mm)]],AD27)^3</f>
        <v>2558249999.9999995</v>
      </c>
      <c r="AK27" s="8">
        <f>Table112324[[#This Row],[b (mm)]]*AD27^3/12</f>
        <v>675000000</v>
      </c>
      <c r="AL27" s="8">
        <v>1800</v>
      </c>
      <c r="AM27" s="12"/>
      <c r="AN27" s="12"/>
      <c r="AO27" s="12"/>
      <c r="AP27" s="1"/>
    </row>
    <row r="28" spans="1:42" s="10" customFormat="1" x14ac:dyDescent="0.25">
      <c r="A28" s="24" t="s">
        <v>124</v>
      </c>
      <c r="B28" s="15">
        <v>3</v>
      </c>
      <c r="C28" s="3">
        <v>27</v>
      </c>
      <c r="D28" s="15">
        <f>810/Table112324[[#This Row],[d]]</f>
        <v>3</v>
      </c>
      <c r="E28" s="15">
        <v>60</v>
      </c>
      <c r="F28" s="15">
        <v>270</v>
      </c>
      <c r="G28" s="8">
        <f t="shared" si="11"/>
        <v>48600</v>
      </c>
      <c r="H28" s="8">
        <f t="shared" si="12"/>
        <v>2.7338193583975516E-6</v>
      </c>
      <c r="I28" s="8">
        <f>G28/(Table112324[[#This Row],[b (mm)]]*AC28^2)</f>
        <v>2.2222222222222222E-3</v>
      </c>
      <c r="J28" s="8">
        <f t="shared" si="13"/>
        <v>0.31930315279933075</v>
      </c>
      <c r="K28" s="8">
        <f t="shared" si="14"/>
        <v>7.4692779262296776E-7</v>
      </c>
      <c r="L28" s="8">
        <f>E28/(Table112324[[#This Row],[b (mm)]]*AC28)</f>
        <v>7.407407407407407E-4</v>
      </c>
      <c r="M28" s="8">
        <f>Table112324[[#This Row],[M (KN.mm)]]/(Table112324[[#This Row],[b (mm)]]*Table112324[[#This Row],[d (mm)]])</f>
        <v>0.6</v>
      </c>
      <c r="N28" s="8">
        <f>Table112324[[#This Row],[M (KN.mm)]]/(Table112324[[#This Row],[b (mm)]]*Table112324[[#This Row],[h (mm)]])</f>
        <v>0.54</v>
      </c>
      <c r="O28" s="8">
        <f>Table112324[[#This Row],[M (KN.mm)]]/(Table112324[[#This Row],[b (mm)]]*Table112324[[#This Row],[h (mm)]]*Table112324[[#This Row],[L(mm)]])</f>
        <v>2.9999999999999997E-4</v>
      </c>
      <c r="P28" s="8">
        <f>Table112324[[#This Row],[M (KN.mm)]]/(Table112324[[#This Row],[b (mm)]]*Table112324[[#This Row],[d (mm)]]*Table112324[[#This Row],[L(mm)]])</f>
        <v>3.3333333333333332E-4</v>
      </c>
      <c r="Q28" s="8">
        <f>Table112324[[#This Row],[M (KN.mm)]]/(Table112324[[#This Row],[b (mm)]]*Table112324[[#This Row],[h (mm)]]*Table112324[[#This Row],[L(mm)]]*Table112324[[#This Row],[fc (Mpa)]])</f>
        <v>7.3170731707317074E-6</v>
      </c>
      <c r="R28" s="8">
        <f>Table112324[[#This Row],[M (KN.mm)]]/(Table112324[[#This Row],[b (mm)]]*Table112324[[#This Row],[h (mm)]]*Table112324[[#This Row],[L(mm)]]/2)</f>
        <v>5.9999999999999995E-4</v>
      </c>
      <c r="S28" s="8">
        <f>Table112324[[#This Row],[M (KN.mm)]]/(Table112324[[#This Row],[a (mm)]]*Table112324[[#This Row],[b (mm)]]*Table112324[[#This Row],[h (mm)]]*Table112324[[#This Row],[L(mm)]]/2)</f>
        <v>7.4074074074074073E-7</v>
      </c>
      <c r="T28" s="8">
        <f>G28/($AN$5*AK28*0.001*Table112324[[#This Row],[pho (%)]])</f>
        <v>1.9954885827719351E-6</v>
      </c>
      <c r="U28" s="8">
        <f>Table112324[[#This Row],[M (KN.mm)]]/(Table112324[[#This Row],[b (mm)]]*Table112324[[#This Row],[d (mm)]]*Table112324[[#This Row],[pho (%)]])</f>
        <v>0.43795620437956201</v>
      </c>
      <c r="V28" s="8">
        <f>E28*224.8/(2*SQRT(Table112324[[#This Row],[fc (Mpa)]]*145.037)*Table112324[[#This Row],[b (mm)]]*Table112324[[#This Row],[d (mm)]]*(1/25.4)^2)</f>
        <v>0.69657621892251476</v>
      </c>
      <c r="W28" s="8">
        <f>Table112324[[#This Row],[M (KN.mm)]]/$G$34</f>
        <v>0.64516129032258063</v>
      </c>
      <c r="X28" s="8">
        <f>E28*224.8/(2*SQRT(Table112324[[#This Row],[fc (Mpa)]]*145.037)*Table112324[[#This Row],[b (mm)]]*Table112324[[#This Row],[d (mm)]]*(1/25.4)^2+Table112324[[#This Row],[Av fy d/s (N)]]*0.2248)</f>
        <v>0.58957290303751608</v>
      </c>
      <c r="Y28" s="15">
        <v>0.193</v>
      </c>
      <c r="Z28" s="8">
        <f>Table112324[[#This Row],[Av fy/(b S) (Mpa)]]*Table112324[[#This Row],[d (mm)]]*Table112324[[#This Row],[b (mm)]]</f>
        <v>15633</v>
      </c>
      <c r="AA28" s="8">
        <f>Table112324[[#This Row],[d (mm)]]/98</f>
        <v>2.7551020408163267</v>
      </c>
      <c r="AB28" s="8">
        <f>Table112324[[#This Row],[a/d]]*Table112324[[#This Row],[d]]</f>
        <v>810</v>
      </c>
      <c r="AC28" s="15">
        <v>270</v>
      </c>
      <c r="AD28" s="15">
        <v>300</v>
      </c>
      <c r="AE28" s="15">
        <v>300</v>
      </c>
      <c r="AF28" s="15">
        <v>41</v>
      </c>
      <c r="AG28" s="8">
        <f>Table112324[[#This Row],[pho (%)]]/100*Table112324[[#This Row],[b (mm)]]*Table112324[[#This Row],[d (mm)]]</f>
        <v>1109.7</v>
      </c>
      <c r="AH28" s="15">
        <v>1.37</v>
      </c>
      <c r="AI28" s="8">
        <v>508</v>
      </c>
      <c r="AJ28" s="8">
        <f>(1/3-0.21*(MIN(Table112324[[#This Row],[b (mm)]],AD28)/MAX(Table112324[[#This Row],[b (mm)]],AD28))*(MIN(Table112324[[#This Row],[b (mm)]],AD28)^4/(12*MAX(Table112324[[#This Row],[b (mm)]],AD28)^4)))*MAX(Table112324[[#This Row],[b (mm)]],AD28)*MIN(Table112324[[#This Row],[b (mm)]],AD28)^3</f>
        <v>2558249999.9999995</v>
      </c>
      <c r="AK28" s="8">
        <f>Table112324[[#This Row],[b (mm)]]*AD28^3/12</f>
        <v>675000000</v>
      </c>
      <c r="AL28" s="8">
        <v>1800</v>
      </c>
      <c r="AM28" s="12"/>
      <c r="AN28" s="12"/>
      <c r="AO28" s="12"/>
      <c r="AP28" s="1"/>
    </row>
    <row r="29" spans="1:42" s="10" customFormat="1" x14ac:dyDescent="0.25">
      <c r="A29" s="24" t="s">
        <v>124</v>
      </c>
      <c r="B29" s="15">
        <v>4</v>
      </c>
      <c r="C29" s="3">
        <v>28</v>
      </c>
      <c r="D29" s="15">
        <f>810/Table112324[[#This Row],[d]]</f>
        <v>3</v>
      </c>
      <c r="E29" s="15">
        <v>70</v>
      </c>
      <c r="F29" s="15">
        <v>270</v>
      </c>
      <c r="G29" s="8">
        <f t="shared" si="11"/>
        <v>56700</v>
      </c>
      <c r="H29" s="8">
        <f t="shared" si="12"/>
        <v>3.1894559181304771E-6</v>
      </c>
      <c r="I29" s="8">
        <f>G29/(Table112324[[#This Row],[b (mm)]]*AC29^2)</f>
        <v>2.5925925925925925E-3</v>
      </c>
      <c r="J29" s="8">
        <f t="shared" si="13"/>
        <v>0.37252034493255254</v>
      </c>
      <c r="K29" s="8">
        <f t="shared" si="14"/>
        <v>8.7141575806012909E-7</v>
      </c>
      <c r="L29" s="8">
        <f>E29/(Table112324[[#This Row],[b (mm)]]*AC29)</f>
        <v>8.6419753086419758E-4</v>
      </c>
      <c r="M29" s="8">
        <f>Table112324[[#This Row],[M (KN.mm)]]/(Table112324[[#This Row],[b (mm)]]*Table112324[[#This Row],[d (mm)]])</f>
        <v>0.7</v>
      </c>
      <c r="N29" s="8">
        <f>Table112324[[#This Row],[M (KN.mm)]]/(Table112324[[#This Row],[b (mm)]]*Table112324[[#This Row],[h (mm)]])</f>
        <v>0.63</v>
      </c>
      <c r="O29" s="8">
        <f>Table112324[[#This Row],[M (KN.mm)]]/(Table112324[[#This Row],[b (mm)]]*Table112324[[#This Row],[h (mm)]]*Table112324[[#This Row],[L(mm)]])</f>
        <v>3.5E-4</v>
      </c>
      <c r="P29" s="8">
        <f>Table112324[[#This Row],[M (KN.mm)]]/(Table112324[[#This Row],[b (mm)]]*Table112324[[#This Row],[d (mm)]]*Table112324[[#This Row],[L(mm)]])</f>
        <v>3.8888888888888887E-4</v>
      </c>
      <c r="Q29" s="8">
        <f>Table112324[[#This Row],[M (KN.mm)]]/(Table112324[[#This Row],[b (mm)]]*Table112324[[#This Row],[h (mm)]]*Table112324[[#This Row],[L(mm)]]*Table112324[[#This Row],[fc (Mpa)]])</f>
        <v>8.5365853658536583E-6</v>
      </c>
      <c r="R29" s="8">
        <f>Table112324[[#This Row],[M (KN.mm)]]/(Table112324[[#This Row],[b (mm)]]*Table112324[[#This Row],[h (mm)]]*Table112324[[#This Row],[L(mm)]]/2)</f>
        <v>6.9999999999999999E-4</v>
      </c>
      <c r="S29" s="8">
        <f>Table112324[[#This Row],[M (KN.mm)]]/(Table112324[[#This Row],[a (mm)]]*Table112324[[#This Row],[b (mm)]]*Table112324[[#This Row],[h (mm)]]*Table112324[[#This Row],[L(mm)]]/2)</f>
        <v>8.641975308641975E-7</v>
      </c>
      <c r="T29" s="8">
        <f>G29/($AN$5*AK29*0.001*Table112324[[#This Row],[pho (%)]])</f>
        <v>2.3280700132339244E-6</v>
      </c>
      <c r="U29" s="8">
        <f>Table112324[[#This Row],[M (KN.mm)]]/(Table112324[[#This Row],[b (mm)]]*Table112324[[#This Row],[d (mm)]]*Table112324[[#This Row],[pho (%)]])</f>
        <v>0.51094890510948898</v>
      </c>
      <c r="V29" s="8">
        <f>E29*224.8/(2*SQRT(Table112324[[#This Row],[fc (Mpa)]]*145.037)*Table112324[[#This Row],[b (mm)]]*Table112324[[#This Row],[d (mm)]]*(1/25.4)^2)</f>
        <v>0.81267225540960053</v>
      </c>
      <c r="W29" s="8">
        <f>Table112324[[#This Row],[M (KN.mm)]]/$G$34</f>
        <v>0.75268817204301075</v>
      </c>
      <c r="X29" s="8">
        <f>E29*224.8/(2*SQRT(Table112324[[#This Row],[fc (Mpa)]]*145.037)*Table112324[[#This Row],[b (mm)]]*Table112324[[#This Row],[d (mm)]]*(1/25.4)^2+Table112324[[#This Row],[Av fy d/s (N)]]*0.2248)</f>
        <v>0.68783505354376884</v>
      </c>
      <c r="Y29" s="15">
        <v>0.193</v>
      </c>
      <c r="Z29" s="8">
        <f>Table112324[[#This Row],[Av fy/(b S) (Mpa)]]*Table112324[[#This Row],[d (mm)]]*Table112324[[#This Row],[b (mm)]]</f>
        <v>15633</v>
      </c>
      <c r="AA29" s="8">
        <f>Table112324[[#This Row],[d (mm)]]/98</f>
        <v>2.7551020408163267</v>
      </c>
      <c r="AB29" s="8">
        <f>Table112324[[#This Row],[a/d]]*Table112324[[#This Row],[d]]</f>
        <v>810</v>
      </c>
      <c r="AC29" s="15">
        <v>270</v>
      </c>
      <c r="AD29" s="15">
        <v>300</v>
      </c>
      <c r="AE29" s="15">
        <v>300</v>
      </c>
      <c r="AF29" s="15">
        <v>41</v>
      </c>
      <c r="AG29" s="8">
        <f>Table112324[[#This Row],[pho (%)]]/100*Table112324[[#This Row],[b (mm)]]*Table112324[[#This Row],[d (mm)]]</f>
        <v>1109.7</v>
      </c>
      <c r="AH29" s="15">
        <v>1.37</v>
      </c>
      <c r="AI29" s="8">
        <v>508</v>
      </c>
      <c r="AJ29" s="8">
        <f>(1/3-0.21*(MIN(Table112324[[#This Row],[b (mm)]],AD29)/MAX(Table112324[[#This Row],[b (mm)]],AD29))*(MIN(Table112324[[#This Row],[b (mm)]],AD29)^4/(12*MAX(Table112324[[#This Row],[b (mm)]],AD29)^4)))*MAX(Table112324[[#This Row],[b (mm)]],AD29)*MIN(Table112324[[#This Row],[b (mm)]],AD29)^3</f>
        <v>2558249999.9999995</v>
      </c>
      <c r="AK29" s="8">
        <f>Table112324[[#This Row],[b (mm)]]*AD29^3/12</f>
        <v>675000000</v>
      </c>
      <c r="AL29" s="8">
        <v>1800</v>
      </c>
      <c r="AM29" s="12"/>
      <c r="AN29" s="12"/>
      <c r="AO29" s="12"/>
      <c r="AP29" s="1"/>
    </row>
    <row r="30" spans="1:42" s="10" customFormat="1" x14ac:dyDescent="0.25">
      <c r="A30" s="24" t="s">
        <v>124</v>
      </c>
      <c r="B30" s="15">
        <v>5</v>
      </c>
      <c r="C30" s="3">
        <v>29</v>
      </c>
      <c r="D30" s="15">
        <f>810/Table112324[[#This Row],[d]]</f>
        <v>3</v>
      </c>
      <c r="E30" s="15">
        <v>75</v>
      </c>
      <c r="F30" s="15">
        <v>270</v>
      </c>
      <c r="G30" s="8">
        <f t="shared" si="11"/>
        <v>60750</v>
      </c>
      <c r="H30" s="8">
        <f t="shared" si="12"/>
        <v>3.4172741979969398E-6</v>
      </c>
      <c r="I30" s="8">
        <f>G30/(Table112324[[#This Row],[b (mm)]]*AC30^2)</f>
        <v>2.7777777777777779E-3</v>
      </c>
      <c r="J30" s="8">
        <f t="shared" si="13"/>
        <v>0.39912894099916346</v>
      </c>
      <c r="K30" s="8">
        <f t="shared" si="14"/>
        <v>9.336597407787097E-7</v>
      </c>
      <c r="L30" s="8">
        <f>E30/(Table112324[[#This Row],[b (mm)]]*AC30)</f>
        <v>9.2592592592592596E-4</v>
      </c>
      <c r="M30" s="8">
        <f>Table112324[[#This Row],[M (KN.mm)]]/(Table112324[[#This Row],[b (mm)]]*Table112324[[#This Row],[d (mm)]])</f>
        <v>0.75</v>
      </c>
      <c r="N30" s="8">
        <f>Table112324[[#This Row],[M (KN.mm)]]/(Table112324[[#This Row],[b (mm)]]*Table112324[[#This Row],[h (mm)]])</f>
        <v>0.67500000000000004</v>
      </c>
      <c r="O30" s="8">
        <f>Table112324[[#This Row],[M (KN.mm)]]/(Table112324[[#This Row],[b (mm)]]*Table112324[[#This Row],[h (mm)]]*Table112324[[#This Row],[L(mm)]])</f>
        <v>3.7500000000000001E-4</v>
      </c>
      <c r="P30" s="8">
        <f>Table112324[[#This Row],[M (KN.mm)]]/(Table112324[[#This Row],[b (mm)]]*Table112324[[#This Row],[d (mm)]]*Table112324[[#This Row],[L(mm)]])</f>
        <v>4.1666666666666669E-4</v>
      </c>
      <c r="Q30" s="8">
        <f>Table112324[[#This Row],[M (KN.mm)]]/(Table112324[[#This Row],[b (mm)]]*Table112324[[#This Row],[h (mm)]]*Table112324[[#This Row],[L(mm)]]*Table112324[[#This Row],[fc (Mpa)]])</f>
        <v>9.1463414634146338E-6</v>
      </c>
      <c r="R30" s="8">
        <f>Table112324[[#This Row],[M (KN.mm)]]/(Table112324[[#This Row],[b (mm)]]*Table112324[[#This Row],[h (mm)]]*Table112324[[#This Row],[L(mm)]]/2)</f>
        <v>7.5000000000000002E-4</v>
      </c>
      <c r="S30" s="8">
        <f>Table112324[[#This Row],[M (KN.mm)]]/(Table112324[[#This Row],[a (mm)]]*Table112324[[#This Row],[b (mm)]]*Table112324[[#This Row],[h (mm)]]*Table112324[[#This Row],[L(mm)]]/2)</f>
        <v>9.2592592592592594E-7</v>
      </c>
      <c r="T30" s="8">
        <f>G30/($AN$5*AK30*0.001*Table112324[[#This Row],[pho (%)]])</f>
        <v>2.4943607284649191E-6</v>
      </c>
      <c r="U30" s="8">
        <f>Table112324[[#This Row],[M (KN.mm)]]/(Table112324[[#This Row],[b (mm)]]*Table112324[[#This Row],[d (mm)]]*Table112324[[#This Row],[pho (%)]])</f>
        <v>0.54744525547445244</v>
      </c>
      <c r="V30" s="8">
        <f>E30*224.8/(2*SQRT(Table112324[[#This Row],[fc (Mpa)]]*145.037)*Table112324[[#This Row],[b (mm)]]*Table112324[[#This Row],[d (mm)]]*(1/25.4)^2)</f>
        <v>0.87072027365314342</v>
      </c>
      <c r="W30" s="8">
        <f>Table112324[[#This Row],[M (KN.mm)]]/$G$34</f>
        <v>0.80645161290322576</v>
      </c>
      <c r="X30" s="8">
        <f>E30*224.8/(2*SQRT(Table112324[[#This Row],[fc (Mpa)]]*145.037)*Table112324[[#This Row],[b (mm)]]*Table112324[[#This Row],[d (mm)]]*(1/25.4)^2+Table112324[[#This Row],[Av fy d/s (N)]]*0.2248)</f>
        <v>0.73696612879689516</v>
      </c>
      <c r="Y30" s="15">
        <v>0.193</v>
      </c>
      <c r="Z30" s="8">
        <f>Table112324[[#This Row],[Av fy/(b S) (Mpa)]]*Table112324[[#This Row],[d (mm)]]*Table112324[[#This Row],[b (mm)]]</f>
        <v>15633</v>
      </c>
      <c r="AA30" s="8">
        <f>Table112324[[#This Row],[d (mm)]]/98</f>
        <v>2.7551020408163267</v>
      </c>
      <c r="AB30" s="8">
        <f>Table112324[[#This Row],[a/d]]*Table112324[[#This Row],[d]]</f>
        <v>810</v>
      </c>
      <c r="AC30" s="15">
        <v>270</v>
      </c>
      <c r="AD30" s="15">
        <v>300</v>
      </c>
      <c r="AE30" s="15">
        <v>300</v>
      </c>
      <c r="AF30" s="15">
        <v>41</v>
      </c>
      <c r="AG30" s="8">
        <f>Table112324[[#This Row],[pho (%)]]/100*Table112324[[#This Row],[b (mm)]]*Table112324[[#This Row],[d (mm)]]</f>
        <v>1109.7</v>
      </c>
      <c r="AH30" s="15">
        <v>1.37</v>
      </c>
      <c r="AI30" s="8">
        <v>508</v>
      </c>
      <c r="AJ30" s="8">
        <f>(1/3-0.21*(MIN(Table112324[[#This Row],[b (mm)]],AD30)/MAX(Table112324[[#This Row],[b (mm)]],AD30))*(MIN(Table112324[[#This Row],[b (mm)]],AD30)^4/(12*MAX(Table112324[[#This Row],[b (mm)]],AD30)^4)))*MAX(Table112324[[#This Row],[b (mm)]],AD30)*MIN(Table112324[[#This Row],[b (mm)]],AD30)^3</f>
        <v>2558249999.9999995</v>
      </c>
      <c r="AK30" s="8">
        <f>Table112324[[#This Row],[b (mm)]]*AD30^3/12</f>
        <v>675000000</v>
      </c>
      <c r="AL30" s="8">
        <v>1800</v>
      </c>
      <c r="AM30" s="12"/>
      <c r="AN30" s="12"/>
      <c r="AO30" s="12"/>
      <c r="AP30" s="1"/>
    </row>
    <row r="31" spans="1:42" x14ac:dyDescent="0.25">
      <c r="A31" s="24" t="s">
        <v>124</v>
      </c>
      <c r="B31" s="15">
        <v>6</v>
      </c>
      <c r="C31" s="3">
        <v>30</v>
      </c>
      <c r="D31" s="15">
        <f>810/Table112324[[#This Row],[d]]</f>
        <v>3</v>
      </c>
      <c r="E31" s="15">
        <v>80</v>
      </c>
      <c r="F31" s="15">
        <v>270</v>
      </c>
      <c r="G31" s="8">
        <f t="shared" si="11"/>
        <v>64800</v>
      </c>
      <c r="H31" s="8">
        <f t="shared" si="12"/>
        <v>3.6450924778634025E-6</v>
      </c>
      <c r="I31" s="8">
        <f>G31/(Table112324[[#This Row],[b (mm)]]*AC31^2)</f>
        <v>2.9629629629629628E-3</v>
      </c>
      <c r="J31" s="8">
        <f t="shared" si="13"/>
        <v>0.42573753706577433</v>
      </c>
      <c r="K31" s="8">
        <f t="shared" si="14"/>
        <v>9.9590372349729042E-7</v>
      </c>
      <c r="L31" s="8">
        <f>E31/(Table112324[[#This Row],[b (mm)]]*AC31)</f>
        <v>9.8765432098765434E-4</v>
      </c>
      <c r="M31" s="8">
        <f>Table112324[[#This Row],[M (KN.mm)]]/(Table112324[[#This Row],[b (mm)]]*Table112324[[#This Row],[d (mm)]])</f>
        <v>0.8</v>
      </c>
      <c r="N31" s="8">
        <f>Table112324[[#This Row],[M (KN.mm)]]/(Table112324[[#This Row],[b (mm)]]*Table112324[[#This Row],[h (mm)]])</f>
        <v>0.72</v>
      </c>
      <c r="O31" s="8">
        <f>Table112324[[#This Row],[M (KN.mm)]]/(Table112324[[#This Row],[b (mm)]]*Table112324[[#This Row],[h (mm)]]*Table112324[[#This Row],[L(mm)]])</f>
        <v>4.0000000000000002E-4</v>
      </c>
      <c r="P31" s="8">
        <f>Table112324[[#This Row],[M (KN.mm)]]/(Table112324[[#This Row],[b (mm)]]*Table112324[[#This Row],[d (mm)]]*Table112324[[#This Row],[L(mm)]])</f>
        <v>4.4444444444444447E-4</v>
      </c>
      <c r="Q31" s="8">
        <f>Table112324[[#This Row],[M (KN.mm)]]/(Table112324[[#This Row],[b (mm)]]*Table112324[[#This Row],[h (mm)]]*Table112324[[#This Row],[L(mm)]]*Table112324[[#This Row],[fc (Mpa)]])</f>
        <v>9.7560975609756093E-6</v>
      </c>
      <c r="R31" s="8">
        <f>Table112324[[#This Row],[M (KN.mm)]]/(Table112324[[#This Row],[b (mm)]]*Table112324[[#This Row],[h (mm)]]*Table112324[[#This Row],[L(mm)]]/2)</f>
        <v>8.0000000000000004E-4</v>
      </c>
      <c r="S31" s="8">
        <f>Table112324[[#This Row],[M (KN.mm)]]/(Table112324[[#This Row],[a (mm)]]*Table112324[[#This Row],[b (mm)]]*Table112324[[#This Row],[h (mm)]]*Table112324[[#This Row],[L(mm)]]/2)</f>
        <v>9.8765432098765437E-7</v>
      </c>
      <c r="T31" s="8">
        <f>G31/($AN$5*AK31*0.001*Table112324[[#This Row],[pho (%)]])</f>
        <v>2.6606514436959137E-6</v>
      </c>
      <c r="U31" s="8">
        <f>Table112324[[#This Row],[M (KN.mm)]]/(Table112324[[#This Row],[b (mm)]]*Table112324[[#This Row],[d (mm)]]*Table112324[[#This Row],[pho (%)]])</f>
        <v>0.58394160583941601</v>
      </c>
      <c r="V31" s="8">
        <f>E31*224.8/(2*SQRT(Table112324[[#This Row],[fc (Mpa)]]*145.037)*Table112324[[#This Row],[b (mm)]]*Table112324[[#This Row],[d (mm)]]*(1/25.4)^2)</f>
        <v>0.92876829189668642</v>
      </c>
      <c r="W31" s="8">
        <f>Table112324[[#This Row],[M (KN.mm)]]/$G$34</f>
        <v>0.86021505376344087</v>
      </c>
      <c r="X31" s="8">
        <f>E31*224.8/(2*SQRT(Table112324[[#This Row],[fc (Mpa)]]*145.037)*Table112324[[#This Row],[b (mm)]]*Table112324[[#This Row],[d (mm)]]*(1/25.4)^2+Table112324[[#This Row],[Av fy d/s (N)]]*0.2248)</f>
        <v>0.78609720405002148</v>
      </c>
      <c r="Y31" s="15">
        <v>0.193</v>
      </c>
      <c r="Z31" s="8">
        <f>Table112324[[#This Row],[Av fy/(b S) (Mpa)]]*Table112324[[#This Row],[d (mm)]]*Table112324[[#This Row],[b (mm)]]</f>
        <v>15633</v>
      </c>
      <c r="AA31" s="8">
        <f>Table112324[[#This Row],[d (mm)]]/98</f>
        <v>2.7551020408163267</v>
      </c>
      <c r="AB31" s="8">
        <f>Table112324[[#This Row],[a/d]]*Table112324[[#This Row],[d]]</f>
        <v>810</v>
      </c>
      <c r="AC31" s="15">
        <v>270</v>
      </c>
      <c r="AD31" s="15">
        <v>300</v>
      </c>
      <c r="AE31" s="15">
        <v>300</v>
      </c>
      <c r="AF31" s="15">
        <v>41</v>
      </c>
      <c r="AG31" s="8">
        <f>Table112324[[#This Row],[pho (%)]]/100*Table112324[[#This Row],[b (mm)]]*Table112324[[#This Row],[d (mm)]]</f>
        <v>1109.7</v>
      </c>
      <c r="AH31" s="15">
        <v>1.37</v>
      </c>
      <c r="AI31" s="8">
        <v>508</v>
      </c>
      <c r="AJ31" s="8">
        <f>(1/3-0.21*(MIN(Table112324[[#This Row],[b (mm)]],AD31)/MAX(Table112324[[#This Row],[b (mm)]],AD31))*(MIN(Table112324[[#This Row],[b (mm)]],AD31)^4/(12*MAX(Table112324[[#This Row],[b (mm)]],AD31)^4)))*MAX(Table112324[[#This Row],[b (mm)]],AD31)*MIN(Table112324[[#This Row],[b (mm)]],AD31)^3</f>
        <v>2558249999.9999995</v>
      </c>
      <c r="AK31" s="8">
        <f>Table112324[[#This Row],[b (mm)]]*AD31^3/12</f>
        <v>675000000</v>
      </c>
      <c r="AL31" s="8">
        <v>1800</v>
      </c>
      <c r="AM31" s="1"/>
      <c r="AN31" s="1"/>
    </row>
    <row r="32" spans="1:42" x14ac:dyDescent="0.25">
      <c r="A32" s="24" t="s">
        <v>124</v>
      </c>
      <c r="B32" s="15">
        <v>7</v>
      </c>
      <c r="C32" s="3">
        <v>31</v>
      </c>
      <c r="D32" s="15">
        <f>810/Table112324[[#This Row],[d]]</f>
        <v>3</v>
      </c>
      <c r="E32" s="15">
        <v>89</v>
      </c>
      <c r="F32" s="15">
        <v>270</v>
      </c>
      <c r="G32" s="8">
        <f t="shared" si="11"/>
        <v>72090</v>
      </c>
      <c r="H32" s="8">
        <f t="shared" si="12"/>
        <v>4.0551653816230353E-6</v>
      </c>
      <c r="I32" s="8">
        <f>G32/(Table112324[[#This Row],[b (mm)]]*AC32^2)</f>
        <v>3.2962962962962963E-3</v>
      </c>
      <c r="J32" s="8">
        <f t="shared" si="13"/>
        <v>0.47363300998567398</v>
      </c>
      <c r="K32" s="8">
        <f t="shared" si="14"/>
        <v>1.1079428923907356E-6</v>
      </c>
      <c r="L32" s="8">
        <f>E32/(Table112324[[#This Row],[b (mm)]]*AC32)</f>
        <v>1.0987654320987654E-3</v>
      </c>
      <c r="M32" s="8">
        <f>Table112324[[#This Row],[M (KN.mm)]]/(Table112324[[#This Row],[b (mm)]]*Table112324[[#This Row],[d (mm)]])</f>
        <v>0.89</v>
      </c>
      <c r="N32" s="8">
        <f>Table112324[[#This Row],[M (KN.mm)]]/(Table112324[[#This Row],[b (mm)]]*Table112324[[#This Row],[h (mm)]])</f>
        <v>0.80100000000000005</v>
      </c>
      <c r="O32" s="8">
        <f>Table112324[[#This Row],[M (KN.mm)]]/(Table112324[[#This Row],[b (mm)]]*Table112324[[#This Row],[h (mm)]]*Table112324[[#This Row],[L(mm)]])</f>
        <v>4.4499999999999997E-4</v>
      </c>
      <c r="P32" s="8">
        <f>Table112324[[#This Row],[M (KN.mm)]]/(Table112324[[#This Row],[b (mm)]]*Table112324[[#This Row],[d (mm)]]*Table112324[[#This Row],[L(mm)]])</f>
        <v>4.9444444444444449E-4</v>
      </c>
      <c r="Q32" s="8">
        <f>Table112324[[#This Row],[M (KN.mm)]]/(Table112324[[#This Row],[b (mm)]]*Table112324[[#This Row],[h (mm)]]*Table112324[[#This Row],[L(mm)]]*Table112324[[#This Row],[fc (Mpa)]])</f>
        <v>1.0853658536585366E-5</v>
      </c>
      <c r="R32" s="8">
        <f>Table112324[[#This Row],[M (KN.mm)]]/(Table112324[[#This Row],[b (mm)]]*Table112324[[#This Row],[h (mm)]]*Table112324[[#This Row],[L(mm)]]/2)</f>
        <v>8.8999999999999995E-4</v>
      </c>
      <c r="S32" s="8">
        <f>Table112324[[#This Row],[M (KN.mm)]]/(Table112324[[#This Row],[a (mm)]]*Table112324[[#This Row],[b (mm)]]*Table112324[[#This Row],[h (mm)]]*Table112324[[#This Row],[L(mm)]]/2)</f>
        <v>1.0987654320987655E-6</v>
      </c>
      <c r="T32" s="8">
        <f>G32/($AN$5*AK32*0.001*Table112324[[#This Row],[pho (%)]])</f>
        <v>2.9599747311117041E-6</v>
      </c>
      <c r="U32" s="8">
        <f>Table112324[[#This Row],[M (KN.mm)]]/(Table112324[[#This Row],[b (mm)]]*Table112324[[#This Row],[d (mm)]]*Table112324[[#This Row],[pho (%)]])</f>
        <v>0.64963503649635024</v>
      </c>
      <c r="V32" s="8">
        <f>E32*224.8/(2*SQRT(Table112324[[#This Row],[fc (Mpa)]]*145.037)*Table112324[[#This Row],[b (mm)]]*Table112324[[#This Row],[d (mm)]]*(1/25.4)^2)</f>
        <v>1.0332547247350636</v>
      </c>
      <c r="W32" s="8">
        <f>Table112324[[#This Row],[M (KN.mm)]]/$G$34</f>
        <v>0.956989247311828</v>
      </c>
      <c r="X32" s="8">
        <f>E32*224.8/(2*SQRT(Table112324[[#This Row],[fc (Mpa)]]*145.037)*Table112324[[#This Row],[b (mm)]]*Table112324[[#This Row],[d (mm)]]*(1/25.4)^2+Table112324[[#This Row],[Av fy d/s (N)]]*0.2248)</f>
        <v>0.87453313950564893</v>
      </c>
      <c r="Y32" s="15">
        <v>0.193</v>
      </c>
      <c r="Z32" s="8">
        <f>Table112324[[#This Row],[Av fy/(b S) (Mpa)]]*Table112324[[#This Row],[d (mm)]]*Table112324[[#This Row],[b (mm)]]</f>
        <v>15633</v>
      </c>
      <c r="AA32" s="8">
        <f>Table112324[[#This Row],[d (mm)]]/98</f>
        <v>2.7551020408163267</v>
      </c>
      <c r="AB32" s="8">
        <f>Table112324[[#This Row],[a/d]]*Table112324[[#This Row],[d]]</f>
        <v>810</v>
      </c>
      <c r="AC32" s="15">
        <v>270</v>
      </c>
      <c r="AD32" s="15">
        <v>300</v>
      </c>
      <c r="AE32" s="15">
        <v>300</v>
      </c>
      <c r="AF32" s="15">
        <v>41</v>
      </c>
      <c r="AG32" s="8">
        <f>Table112324[[#This Row],[pho (%)]]/100*Table112324[[#This Row],[b (mm)]]*Table112324[[#This Row],[d (mm)]]</f>
        <v>1109.7</v>
      </c>
      <c r="AH32" s="15">
        <v>1.37</v>
      </c>
      <c r="AI32" s="8">
        <v>508</v>
      </c>
      <c r="AJ32" s="8">
        <f>(1/3-0.21*(MIN(Table112324[[#This Row],[b (mm)]],AD32)/MAX(Table112324[[#This Row],[b (mm)]],AD32))*(MIN(Table112324[[#This Row],[b (mm)]],AD32)^4/(12*MAX(Table112324[[#This Row],[b (mm)]],AD32)^4)))*MAX(Table112324[[#This Row],[b (mm)]],AD32)*MIN(Table112324[[#This Row],[b (mm)]],AD32)^3</f>
        <v>2558249999.9999995</v>
      </c>
      <c r="AK32" s="8">
        <f>Table112324[[#This Row],[b (mm)]]*AD32^3/12</f>
        <v>675000000</v>
      </c>
      <c r="AL32" s="8">
        <v>1800</v>
      </c>
      <c r="AM32" s="1"/>
      <c r="AN32" s="1"/>
    </row>
    <row r="33" spans="1:38" s="1" customFormat="1" x14ac:dyDescent="0.25">
      <c r="A33" s="24" t="s">
        <v>124</v>
      </c>
      <c r="B33" s="15">
        <v>8</v>
      </c>
      <c r="C33" s="3">
        <v>32</v>
      </c>
      <c r="D33" s="15">
        <f>810/Table112324[[#This Row],[d]]</f>
        <v>3</v>
      </c>
      <c r="E33" s="15">
        <v>90</v>
      </c>
      <c r="F33" s="15">
        <v>270</v>
      </c>
      <c r="G33" s="8">
        <f t="shared" si="11"/>
        <v>72900</v>
      </c>
      <c r="H33" s="8">
        <f t="shared" si="12"/>
        <v>4.1007290375963279E-6</v>
      </c>
      <c r="I33" s="8">
        <f>G33/(Table112324[[#This Row],[b (mm)]]*AC33^2)</f>
        <v>3.3333333333333335E-3</v>
      </c>
      <c r="J33" s="8">
        <f t="shared" si="13"/>
        <v>0.47895472919899612</v>
      </c>
      <c r="K33" s="8">
        <f t="shared" si="14"/>
        <v>1.1203916889344516E-6</v>
      </c>
      <c r="L33" s="8">
        <f>E33/(Table112324[[#This Row],[b (mm)]]*AC33)</f>
        <v>1.1111111111111111E-3</v>
      </c>
      <c r="M33" s="8">
        <f>Table112324[[#This Row],[M (KN.mm)]]/(Table112324[[#This Row],[b (mm)]]*Table112324[[#This Row],[d (mm)]])</f>
        <v>0.9</v>
      </c>
      <c r="N33" s="8">
        <f>Table112324[[#This Row],[M (KN.mm)]]/(Table112324[[#This Row],[b (mm)]]*Table112324[[#This Row],[h (mm)]])</f>
        <v>0.81</v>
      </c>
      <c r="O33" s="8">
        <f>Table112324[[#This Row],[M (KN.mm)]]/(Table112324[[#This Row],[b (mm)]]*Table112324[[#This Row],[h (mm)]]*Table112324[[#This Row],[L(mm)]])</f>
        <v>4.4999999999999999E-4</v>
      </c>
      <c r="P33" s="8">
        <f>Table112324[[#This Row],[M (KN.mm)]]/(Table112324[[#This Row],[b (mm)]]*Table112324[[#This Row],[d (mm)]]*Table112324[[#This Row],[L(mm)]])</f>
        <v>5.0000000000000001E-4</v>
      </c>
      <c r="Q33" s="8">
        <f>Table112324[[#This Row],[M (KN.mm)]]/(Table112324[[#This Row],[b (mm)]]*Table112324[[#This Row],[h (mm)]]*Table112324[[#This Row],[L(mm)]]*Table112324[[#This Row],[fc (Mpa)]])</f>
        <v>1.097560975609756E-5</v>
      </c>
      <c r="R33" s="8">
        <f>Table112324[[#This Row],[M (KN.mm)]]/(Table112324[[#This Row],[b (mm)]]*Table112324[[#This Row],[h (mm)]]*Table112324[[#This Row],[L(mm)]]/2)</f>
        <v>8.9999999999999998E-4</v>
      </c>
      <c r="S33" s="8">
        <f>Table112324[[#This Row],[M (KN.mm)]]/(Table112324[[#This Row],[a (mm)]]*Table112324[[#This Row],[b (mm)]]*Table112324[[#This Row],[h (mm)]]*Table112324[[#This Row],[L(mm)]]/2)</f>
        <v>1.111111111111111E-6</v>
      </c>
      <c r="T33" s="8">
        <f>G33/($AN$5*AK33*0.001*Table112324[[#This Row],[pho (%)]])</f>
        <v>2.9932328741579031E-6</v>
      </c>
      <c r="U33" s="8">
        <f>Table112324[[#This Row],[M (KN.mm)]]/(Table112324[[#This Row],[b (mm)]]*Table112324[[#This Row],[d (mm)]]*Table112324[[#This Row],[pho (%)]])</f>
        <v>0.65693430656934293</v>
      </c>
      <c r="V33" s="8">
        <f>E33*224.8/(2*SQRT(Table112324[[#This Row],[fc (Mpa)]]*145.037)*Table112324[[#This Row],[b (mm)]]*Table112324[[#This Row],[d (mm)]]*(1/25.4)^2)</f>
        <v>1.0448643283837722</v>
      </c>
      <c r="W33" s="8">
        <f>Table112324[[#This Row],[M (KN.mm)]]/$G$34</f>
        <v>0.967741935483871</v>
      </c>
      <c r="X33" s="8">
        <f>E33*224.8/(2*SQRT(Table112324[[#This Row],[fc (Mpa)]]*145.037)*Table112324[[#This Row],[b (mm)]]*Table112324[[#This Row],[d (mm)]]*(1/25.4)^2+Table112324[[#This Row],[Av fy d/s (N)]]*0.2248)</f>
        <v>0.88435935455627424</v>
      </c>
      <c r="Y33" s="15">
        <v>0.193</v>
      </c>
      <c r="Z33" s="8">
        <f>Table112324[[#This Row],[Av fy/(b S) (Mpa)]]*Table112324[[#This Row],[d (mm)]]*Table112324[[#This Row],[b (mm)]]</f>
        <v>15633</v>
      </c>
      <c r="AA33" s="8">
        <f>Table112324[[#This Row],[d (mm)]]/98</f>
        <v>2.7551020408163267</v>
      </c>
      <c r="AB33" s="8">
        <f>Table112324[[#This Row],[a/d]]*Table112324[[#This Row],[d]]</f>
        <v>810</v>
      </c>
      <c r="AC33" s="15">
        <v>270</v>
      </c>
      <c r="AD33" s="15">
        <v>300</v>
      </c>
      <c r="AE33" s="15">
        <v>300</v>
      </c>
      <c r="AF33" s="15">
        <v>41</v>
      </c>
      <c r="AG33" s="8">
        <f>Table112324[[#This Row],[pho (%)]]/100*Table112324[[#This Row],[b (mm)]]*Table112324[[#This Row],[d (mm)]]</f>
        <v>1109.7</v>
      </c>
      <c r="AH33" s="15">
        <v>1.37</v>
      </c>
      <c r="AI33" s="8">
        <v>508</v>
      </c>
      <c r="AJ33" s="8">
        <f>(1/3-0.21*(MIN(Table112324[[#This Row],[b (mm)]],AD33)/MAX(Table112324[[#This Row],[b (mm)]],AD33))*(MIN(Table112324[[#This Row],[b (mm)]],AD33)^4/(12*MAX(Table112324[[#This Row],[b (mm)]],AD33)^4)))*MAX(Table112324[[#This Row],[b (mm)]],AD33)*MIN(Table112324[[#This Row],[b (mm)]],AD33)^3</f>
        <v>2558249999.9999995</v>
      </c>
      <c r="AK33" s="8">
        <f>Table112324[[#This Row],[b (mm)]]*AD33^3/12</f>
        <v>675000000</v>
      </c>
      <c r="AL33" s="8">
        <v>1800</v>
      </c>
    </row>
    <row r="34" spans="1:38" s="1" customFormat="1" x14ac:dyDescent="0.25">
      <c r="A34" s="24" t="s">
        <v>124</v>
      </c>
      <c r="B34" s="15">
        <v>9</v>
      </c>
      <c r="C34" s="3">
        <v>33</v>
      </c>
      <c r="D34" s="15">
        <f>810/Table112324[[#This Row],[d]]</f>
        <v>3</v>
      </c>
      <c r="E34" s="15">
        <v>93</v>
      </c>
      <c r="F34" s="15">
        <v>270</v>
      </c>
      <c r="G34" s="8">
        <f t="shared" si="11"/>
        <v>75330</v>
      </c>
      <c r="H34" s="8">
        <f t="shared" si="12"/>
        <v>4.2374200055162055E-6</v>
      </c>
      <c r="I34" s="8">
        <f>G34/(Table112324[[#This Row],[b (mm)]]*AC34^2)</f>
        <v>3.4444444444444444E-3</v>
      </c>
      <c r="J34" s="8">
        <f t="shared" si="13"/>
        <v>0.49491988683896265</v>
      </c>
      <c r="K34" s="8">
        <f t="shared" si="14"/>
        <v>1.1577380785656001E-6</v>
      </c>
      <c r="L34" s="8">
        <f>E34/(Table112324[[#This Row],[b (mm)]]*AC34)</f>
        <v>1.1481481481481481E-3</v>
      </c>
      <c r="M34" s="8">
        <f>Table112324[[#This Row],[M (KN.mm)]]/(Table112324[[#This Row],[b (mm)]]*Table112324[[#This Row],[d (mm)]])</f>
        <v>0.93</v>
      </c>
      <c r="N34" s="8">
        <f>Table112324[[#This Row],[M (KN.mm)]]/(Table112324[[#This Row],[b (mm)]]*Table112324[[#This Row],[h (mm)]])</f>
        <v>0.83699999999999997</v>
      </c>
      <c r="O34" s="8">
        <f>Table112324[[#This Row],[M (KN.mm)]]/(Table112324[[#This Row],[b (mm)]]*Table112324[[#This Row],[h (mm)]]*Table112324[[#This Row],[L(mm)]])</f>
        <v>4.6500000000000003E-4</v>
      </c>
      <c r="P34" s="8">
        <f>Table112324[[#This Row],[M (KN.mm)]]/(Table112324[[#This Row],[b (mm)]]*Table112324[[#This Row],[d (mm)]]*Table112324[[#This Row],[L(mm)]])</f>
        <v>5.1666666666666668E-4</v>
      </c>
      <c r="Q34" s="8">
        <f>Table112324[[#This Row],[M (KN.mm)]]/(Table112324[[#This Row],[b (mm)]]*Table112324[[#This Row],[h (mm)]]*Table112324[[#This Row],[L(mm)]]*Table112324[[#This Row],[fc (Mpa)]])</f>
        <v>1.1341463414634146E-5</v>
      </c>
      <c r="R34" s="8">
        <f>Table112324[[#This Row],[M (KN.mm)]]/(Table112324[[#This Row],[b (mm)]]*Table112324[[#This Row],[h (mm)]]*Table112324[[#This Row],[L(mm)]]/2)</f>
        <v>9.3000000000000005E-4</v>
      </c>
      <c r="S34" s="8">
        <f>Table112324[[#This Row],[M (KN.mm)]]/(Table112324[[#This Row],[a (mm)]]*Table112324[[#This Row],[b (mm)]]*Table112324[[#This Row],[h (mm)]]*Table112324[[#This Row],[L(mm)]]/2)</f>
        <v>1.1481481481481482E-6</v>
      </c>
      <c r="T34" s="8">
        <f>G34/($AN$5*AK34*0.001*Table112324[[#This Row],[pho (%)]])</f>
        <v>3.0930073032964999E-6</v>
      </c>
      <c r="U34" s="8">
        <f>Table112324[[#This Row],[M (KN.mm)]]/(Table112324[[#This Row],[b (mm)]]*Table112324[[#This Row],[d (mm)]]*Table112324[[#This Row],[pho (%)]])</f>
        <v>0.67883211678832112</v>
      </c>
      <c r="V34" s="8">
        <f>E34*224.8/(2*SQRT(Table112324[[#This Row],[fc (Mpa)]]*145.037)*Table112324[[#This Row],[b (mm)]]*Table112324[[#This Row],[d (mm)]]*(1/25.4)^2)</f>
        <v>1.0796931393298981</v>
      </c>
      <c r="W34" s="8">
        <f>Table112324[[#This Row],[M (KN.mm)]]/$G$34</f>
        <v>1</v>
      </c>
      <c r="X34" s="8">
        <f>E34*224.8/(2*SQRT(Table112324[[#This Row],[fc (Mpa)]]*145.037)*Table112324[[#This Row],[b (mm)]]*Table112324[[#This Row],[d (mm)]]*(1/25.4)^2+Table112324[[#This Row],[Av fy d/s (N)]]*0.2248)</f>
        <v>0.91383799970815005</v>
      </c>
      <c r="Y34" s="15">
        <v>0.193</v>
      </c>
      <c r="Z34" s="8">
        <f>Table112324[[#This Row],[Av fy/(b S) (Mpa)]]*Table112324[[#This Row],[d (mm)]]*Table112324[[#This Row],[b (mm)]]</f>
        <v>15633</v>
      </c>
      <c r="AA34" s="8">
        <f>Table112324[[#This Row],[d (mm)]]/98</f>
        <v>2.7551020408163267</v>
      </c>
      <c r="AB34" s="8">
        <f>Table112324[[#This Row],[a/d]]*Table112324[[#This Row],[d]]</f>
        <v>810</v>
      </c>
      <c r="AC34" s="15">
        <v>270</v>
      </c>
      <c r="AD34" s="15">
        <v>300</v>
      </c>
      <c r="AE34" s="15">
        <v>300</v>
      </c>
      <c r="AF34" s="15">
        <v>41</v>
      </c>
      <c r="AG34" s="8">
        <f>Table112324[[#This Row],[pho (%)]]/100*Table112324[[#This Row],[b (mm)]]*Table112324[[#This Row],[d (mm)]]</f>
        <v>1109.7</v>
      </c>
      <c r="AH34" s="15">
        <v>1.37</v>
      </c>
      <c r="AI34" s="8">
        <v>508</v>
      </c>
      <c r="AJ34" s="8">
        <f>(1/3-0.21*(MIN(Table112324[[#This Row],[b (mm)]],AD34)/MAX(Table112324[[#This Row],[b (mm)]],AD34))*(MIN(Table112324[[#This Row],[b (mm)]],AD34)^4/(12*MAX(Table112324[[#This Row],[b (mm)]],AD34)^4)))*MAX(Table112324[[#This Row],[b (mm)]],AD34)*MIN(Table112324[[#This Row],[b (mm)]],AD34)^3</f>
        <v>2558249999.9999995</v>
      </c>
      <c r="AK34" s="8">
        <f>Table112324[[#This Row],[b (mm)]]*AD34^3/12</f>
        <v>675000000</v>
      </c>
      <c r="AL34" s="8">
        <v>1800</v>
      </c>
    </row>
    <row r="35" spans="1:38" s="1" customFormat="1" x14ac:dyDescent="0.25">
      <c r="A35" s="56" t="s">
        <v>125</v>
      </c>
      <c r="B35" s="15">
        <v>1</v>
      </c>
      <c r="C35" s="3">
        <v>34</v>
      </c>
      <c r="D35" s="15">
        <v>2.92</v>
      </c>
      <c r="E35" s="15">
        <v>250</v>
      </c>
      <c r="F35" s="15">
        <v>925</v>
      </c>
      <c r="G35" s="8">
        <f t="shared" ref="G35:G42" si="15">E35*AB35</f>
        <v>675250</v>
      </c>
      <c r="H35" s="8">
        <f t="shared" ref="H35:H42" si="16">G35/($AN$5*AK35*0.001)</f>
        <v>3.0766858695965784E-7</v>
      </c>
      <c r="I35" s="8">
        <f>G35/(Table112324[[#This Row],[b (mm)]]*AC35^2)</f>
        <v>7.891891891891892E-4</v>
      </c>
      <c r="J35" s="8">
        <f t="shared" ref="J35:J42" si="17">G35/(AG35*AI35*AC35*0.001)</f>
        <v>0.11096585899735507</v>
      </c>
      <c r="K35" s="8">
        <f t="shared" ref="K35:K42" si="18">E35/($AN$4*AJ35*0.001)</f>
        <v>2.5208813001025159E-8</v>
      </c>
      <c r="L35" s="8">
        <f>E35/(Table112324[[#This Row],[b (mm)]]*AC35)</f>
        <v>2.7027027027027027E-4</v>
      </c>
      <c r="M35" s="8">
        <f>Table112324[[#This Row],[M (KN.mm)]]/(Table112324[[#This Row],[b (mm)]]*Table112324[[#This Row],[d (mm)]])</f>
        <v>0.73</v>
      </c>
      <c r="N35" s="8">
        <f>Table112324[[#This Row],[M (KN.mm)]]/(Table112324[[#This Row],[b (mm)]]*Table112324[[#This Row],[h (mm)]])</f>
        <v>0.67525000000000002</v>
      </c>
      <c r="O35" s="8">
        <f>Table112324[[#This Row],[M (KN.mm)]]/(Table112324[[#This Row],[b (mm)]]*Table112324[[#This Row],[h (mm)]]*Table112324[[#This Row],[L(mm)]])</f>
        <v>1.1254166666666666E-4</v>
      </c>
      <c r="P35" s="8">
        <f>Table112324[[#This Row],[M (KN.mm)]]/(Table112324[[#This Row],[b (mm)]]*Table112324[[#This Row],[d (mm)]]*Table112324[[#This Row],[L(mm)]])</f>
        <v>1.2166666666666667E-4</v>
      </c>
      <c r="Q35" s="8">
        <f>Table112324[[#This Row],[M (KN.mm)]]/(Table112324[[#This Row],[b (mm)]]*Table112324[[#This Row],[h (mm)]]*Table112324[[#This Row],[L(mm)]]*Table112324[[#This Row],[fc (Mpa)]])</f>
        <v>2.7449186991869918E-6</v>
      </c>
      <c r="R35" s="8">
        <f>Table112324[[#This Row],[M (KN.mm)]]/(Table112324[[#This Row],[b (mm)]]*Table112324[[#This Row],[h (mm)]]*Table112324[[#This Row],[L(mm)]]/2)</f>
        <v>2.2508333333333332E-4</v>
      </c>
      <c r="S35" s="8">
        <f>Table112324[[#This Row],[M (KN.mm)]]/(Table112324[[#This Row],[a (mm)]]*Table112324[[#This Row],[b (mm)]]*Table112324[[#This Row],[h (mm)]]*Table112324[[#This Row],[L(mm)]]/2)</f>
        <v>8.3333333333333338E-8</v>
      </c>
      <c r="T35" s="8">
        <f>G35/($AN$5*AK35*0.001*Table112324[[#This Row],[pho (%)]])</f>
        <v>2.1976327639975559E-7</v>
      </c>
      <c r="U35" s="8">
        <f>Table112324[[#This Row],[M (KN.mm)]]/(Table112324[[#This Row],[b (mm)]]*Table112324[[#This Row],[d (mm)]]*Table112324[[#This Row],[pho (%)]])</f>
        <v>0.52142857142857146</v>
      </c>
      <c r="V35" s="8">
        <f>E35*224.8/(2*SQRT(Table112324[[#This Row],[fc (Mpa)]]*145.037)*Table112324[[#This Row],[b (mm)]]*Table112324[[#This Row],[d (mm)]]*(1/25.4)^2)</f>
        <v>0.25415618798524187</v>
      </c>
      <c r="W35" s="8">
        <f>Table112324[[#This Row],[M (KN.mm)]]/$G$42</f>
        <v>0.37037037037037035</v>
      </c>
      <c r="X35" s="8">
        <f>E35*224.8/(2*SQRT(Table112324[[#This Row],[fc (Mpa)]]*145.037)*Table112324[[#This Row],[b (mm)]]*Table112324[[#This Row],[d (mm)]]*(1/25.4)^2+Table112324[[#This Row],[Av fy d/s (N)]]*0.2248)</f>
        <v>0.21511443759476939</v>
      </c>
      <c r="Y35" s="15">
        <v>0.193</v>
      </c>
      <c r="Z35" s="8">
        <f>Table112324[[#This Row],[Av fy/(b S) (Mpa)]]*Table112324[[#This Row],[d (mm)]]*Table112324[[#This Row],[b (mm)]]</f>
        <v>178525</v>
      </c>
      <c r="AA35" s="8">
        <f>Table112324[[#This Row],[d (mm)]]/375</f>
        <v>2.4666666666666668</v>
      </c>
      <c r="AB35" s="8">
        <f>Table112324[[#This Row],[a/d]]*Table112324[[#This Row],[d]]</f>
        <v>2701</v>
      </c>
      <c r="AC35" s="15">
        <v>925</v>
      </c>
      <c r="AD35" s="15">
        <v>1000</v>
      </c>
      <c r="AE35" s="15">
        <v>1000</v>
      </c>
      <c r="AF35" s="15">
        <v>41</v>
      </c>
      <c r="AG35" s="8">
        <f>Table112324[[#This Row],[pho (%)]]/100*Table112324[[#This Row],[b (mm)]]*Table112324[[#This Row],[d (mm)]]</f>
        <v>12949.999999999998</v>
      </c>
      <c r="AH35" s="15">
        <v>1.4</v>
      </c>
      <c r="AI35" s="8">
        <v>508</v>
      </c>
      <c r="AJ35" s="8">
        <f>(1/3-0.21*(MIN(Table112324[[#This Row],[b (mm)]],AD35)/MAX(Table112324[[#This Row],[b (mm)]],AD35))*(MIN(Table112324[[#This Row],[b (mm)]],AD35)^4/(12*MAX(Table112324[[#This Row],[b (mm)]],AD35)^4)))*MAX(Table112324[[#This Row],[b (mm)]],AD35)*MIN(Table112324[[#This Row],[b (mm)]],AD35)^3</f>
        <v>315833333333.33331</v>
      </c>
      <c r="AK35" s="8">
        <f>Table112324[[#This Row],[b (mm)]]*AD35^3/12</f>
        <v>83333333333.333328</v>
      </c>
      <c r="AL35" s="15">
        <v>6000</v>
      </c>
    </row>
    <row r="36" spans="1:38" s="1" customFormat="1" x14ac:dyDescent="0.25">
      <c r="A36" s="56" t="s">
        <v>125</v>
      </c>
      <c r="B36" s="15">
        <v>2</v>
      </c>
      <c r="C36" s="3">
        <v>35</v>
      </c>
      <c r="D36" s="15">
        <v>2.92</v>
      </c>
      <c r="E36" s="15">
        <v>350</v>
      </c>
      <c r="F36" s="15">
        <v>925</v>
      </c>
      <c r="G36" s="8">
        <f t="shared" si="15"/>
        <v>945350</v>
      </c>
      <c r="H36" s="8">
        <f t="shared" si="16"/>
        <v>4.3073602174352099E-7</v>
      </c>
      <c r="I36" s="8">
        <f>G36/(Table112324[[#This Row],[b (mm)]]*AC36^2)</f>
        <v>1.1048648648648649E-3</v>
      </c>
      <c r="J36" s="8">
        <f t="shared" si="17"/>
        <v>0.15535220259629712</v>
      </c>
      <c r="K36" s="8">
        <f t="shared" si="18"/>
        <v>3.5292338201435226E-8</v>
      </c>
      <c r="L36" s="8">
        <f>E36/(Table112324[[#This Row],[b (mm)]]*AC36)</f>
        <v>3.783783783783784E-4</v>
      </c>
      <c r="M36" s="8">
        <f>Table112324[[#This Row],[M (KN.mm)]]/(Table112324[[#This Row],[b (mm)]]*Table112324[[#This Row],[d (mm)]])</f>
        <v>1.022</v>
      </c>
      <c r="N36" s="8">
        <f>Table112324[[#This Row],[M (KN.mm)]]/(Table112324[[#This Row],[b (mm)]]*Table112324[[#This Row],[h (mm)]])</f>
        <v>0.94535000000000002</v>
      </c>
      <c r="O36" s="8">
        <f>Table112324[[#This Row],[M (KN.mm)]]/(Table112324[[#This Row],[b (mm)]]*Table112324[[#This Row],[h (mm)]]*Table112324[[#This Row],[L(mm)]])</f>
        <v>1.5755833333333335E-4</v>
      </c>
      <c r="P36" s="8">
        <f>Table112324[[#This Row],[M (KN.mm)]]/(Table112324[[#This Row],[b (mm)]]*Table112324[[#This Row],[d (mm)]]*Table112324[[#This Row],[L(mm)]])</f>
        <v>1.7033333333333334E-4</v>
      </c>
      <c r="Q36" s="8">
        <f>Table112324[[#This Row],[M (KN.mm)]]/(Table112324[[#This Row],[b (mm)]]*Table112324[[#This Row],[h (mm)]]*Table112324[[#This Row],[L(mm)]]*Table112324[[#This Row],[fc (Mpa)]])</f>
        <v>3.8428861788617888E-6</v>
      </c>
      <c r="R36" s="8">
        <f>Table112324[[#This Row],[M (KN.mm)]]/(Table112324[[#This Row],[b (mm)]]*Table112324[[#This Row],[h (mm)]]*Table112324[[#This Row],[L(mm)]]/2)</f>
        <v>3.1511666666666669E-4</v>
      </c>
      <c r="S36" s="8">
        <f>Table112324[[#This Row],[M (KN.mm)]]/(Table112324[[#This Row],[a (mm)]]*Table112324[[#This Row],[b (mm)]]*Table112324[[#This Row],[h (mm)]]*Table112324[[#This Row],[L(mm)]]/2)</f>
        <v>1.1666666666666667E-7</v>
      </c>
      <c r="T36" s="8">
        <f>G36/($AN$5*AK36*0.001*Table112324[[#This Row],[pho (%)]])</f>
        <v>3.0766858695965784E-7</v>
      </c>
      <c r="U36" s="8">
        <f>Table112324[[#This Row],[M (KN.mm)]]/(Table112324[[#This Row],[b (mm)]]*Table112324[[#This Row],[d (mm)]]*Table112324[[#This Row],[pho (%)]])</f>
        <v>0.73</v>
      </c>
      <c r="V36" s="8">
        <f>E36*224.8/(2*SQRT(Table112324[[#This Row],[fc (Mpa)]]*145.037)*Table112324[[#This Row],[b (mm)]]*Table112324[[#This Row],[d (mm)]]*(1/25.4)^2)</f>
        <v>0.35581866317933858</v>
      </c>
      <c r="W36" s="8">
        <f>Table112324[[#This Row],[M (KN.mm)]]/$G$42</f>
        <v>0.51851851851851849</v>
      </c>
      <c r="X36" s="8">
        <f>E36*224.8/(2*SQRT(Table112324[[#This Row],[fc (Mpa)]]*145.037)*Table112324[[#This Row],[b (mm)]]*Table112324[[#This Row],[d (mm)]]*(1/25.4)^2+Table112324[[#This Row],[Av fy d/s (N)]]*0.2248)</f>
        <v>0.30116021263267712</v>
      </c>
      <c r="Y36" s="15">
        <v>0.193</v>
      </c>
      <c r="Z36" s="8">
        <f>Table112324[[#This Row],[Av fy/(b S) (Mpa)]]*Table112324[[#This Row],[d (mm)]]*Table112324[[#This Row],[b (mm)]]</f>
        <v>178525</v>
      </c>
      <c r="AA36" s="8">
        <f>Table112324[[#This Row],[d (mm)]]/375</f>
        <v>2.4666666666666668</v>
      </c>
      <c r="AB36" s="8">
        <f>Table112324[[#This Row],[a/d]]*Table112324[[#This Row],[d]]</f>
        <v>2701</v>
      </c>
      <c r="AC36" s="15">
        <v>925</v>
      </c>
      <c r="AD36" s="15">
        <v>1000</v>
      </c>
      <c r="AE36" s="15">
        <v>1000</v>
      </c>
      <c r="AF36" s="15">
        <v>41</v>
      </c>
      <c r="AG36" s="8">
        <f>Table112324[[#This Row],[pho (%)]]/100*Table112324[[#This Row],[b (mm)]]*Table112324[[#This Row],[d (mm)]]</f>
        <v>12949.999999999998</v>
      </c>
      <c r="AH36" s="15">
        <v>1.4</v>
      </c>
      <c r="AI36" s="8">
        <v>508</v>
      </c>
      <c r="AJ36" s="8">
        <f>(1/3-0.21*(MIN(Table112324[[#This Row],[b (mm)]],AD36)/MAX(Table112324[[#This Row],[b (mm)]],AD36))*(MIN(Table112324[[#This Row],[b (mm)]],AD36)^4/(12*MAX(Table112324[[#This Row],[b (mm)]],AD36)^4)))*MAX(Table112324[[#This Row],[b (mm)]],AD36)*MIN(Table112324[[#This Row],[b (mm)]],AD36)^3</f>
        <v>315833333333.33331</v>
      </c>
      <c r="AK36" s="8">
        <f>Table112324[[#This Row],[b (mm)]]*AD36^3/12</f>
        <v>83333333333.333328</v>
      </c>
      <c r="AL36" s="15">
        <v>6000</v>
      </c>
    </row>
    <row r="37" spans="1:38" s="1" customFormat="1" x14ac:dyDescent="0.25">
      <c r="A37" s="56" t="s">
        <v>125</v>
      </c>
      <c r="B37" s="15">
        <v>3</v>
      </c>
      <c r="C37" s="3">
        <v>36</v>
      </c>
      <c r="D37" s="15">
        <v>2.92</v>
      </c>
      <c r="E37" s="15">
        <v>400</v>
      </c>
      <c r="F37" s="15">
        <v>925</v>
      </c>
      <c r="G37" s="8">
        <f t="shared" si="15"/>
        <v>1080400</v>
      </c>
      <c r="H37" s="8">
        <f t="shared" si="16"/>
        <v>4.9226973913545249E-7</v>
      </c>
      <c r="I37" s="8">
        <f>G37/(Table112324[[#This Row],[b (mm)]]*AC37^2)</f>
        <v>1.2627027027027028E-3</v>
      </c>
      <c r="J37" s="8">
        <f t="shared" si="17"/>
        <v>0.17754537439576812</v>
      </c>
      <c r="K37" s="8">
        <f t="shared" si="18"/>
        <v>4.0334100801640254E-8</v>
      </c>
      <c r="L37" s="8">
        <f>E37/(Table112324[[#This Row],[b (mm)]]*AC37)</f>
        <v>4.3243243243243243E-4</v>
      </c>
      <c r="M37" s="8">
        <f>Table112324[[#This Row],[M (KN.mm)]]/(Table112324[[#This Row],[b (mm)]]*Table112324[[#This Row],[d (mm)]])</f>
        <v>1.1679999999999999</v>
      </c>
      <c r="N37" s="8">
        <f>Table112324[[#This Row],[M (KN.mm)]]/(Table112324[[#This Row],[b (mm)]]*Table112324[[#This Row],[h (mm)]])</f>
        <v>1.0804</v>
      </c>
      <c r="O37" s="8">
        <f>Table112324[[#This Row],[M (KN.mm)]]/(Table112324[[#This Row],[b (mm)]]*Table112324[[#This Row],[h (mm)]]*Table112324[[#This Row],[L(mm)]])</f>
        <v>1.8006666666666666E-4</v>
      </c>
      <c r="P37" s="8">
        <f>Table112324[[#This Row],[M (KN.mm)]]/(Table112324[[#This Row],[b (mm)]]*Table112324[[#This Row],[d (mm)]]*Table112324[[#This Row],[L(mm)]])</f>
        <v>1.9466666666666666E-4</v>
      </c>
      <c r="Q37" s="8">
        <f>Table112324[[#This Row],[M (KN.mm)]]/(Table112324[[#This Row],[b (mm)]]*Table112324[[#This Row],[h (mm)]]*Table112324[[#This Row],[L(mm)]]*Table112324[[#This Row],[fc (Mpa)]])</f>
        <v>4.3918699186991873E-6</v>
      </c>
      <c r="R37" s="8">
        <f>Table112324[[#This Row],[M (KN.mm)]]/(Table112324[[#This Row],[b (mm)]]*Table112324[[#This Row],[h (mm)]]*Table112324[[#This Row],[L(mm)]]/2)</f>
        <v>3.6013333333333332E-4</v>
      </c>
      <c r="S37" s="8">
        <f>Table112324[[#This Row],[M (KN.mm)]]/(Table112324[[#This Row],[a (mm)]]*Table112324[[#This Row],[b (mm)]]*Table112324[[#This Row],[h (mm)]]*Table112324[[#This Row],[L(mm)]]/2)</f>
        <v>1.3333333333333334E-7</v>
      </c>
      <c r="T37" s="8">
        <f>G37/($AN$5*AK37*0.001*Table112324[[#This Row],[pho (%)]])</f>
        <v>3.5162124223960897E-7</v>
      </c>
      <c r="U37" s="8">
        <f>Table112324[[#This Row],[M (KN.mm)]]/(Table112324[[#This Row],[b (mm)]]*Table112324[[#This Row],[d (mm)]]*Table112324[[#This Row],[pho (%)]])</f>
        <v>0.8342857142857143</v>
      </c>
      <c r="V37" s="8">
        <f>E37*224.8/(2*SQRT(Table112324[[#This Row],[fc (Mpa)]]*145.037)*Table112324[[#This Row],[b (mm)]]*Table112324[[#This Row],[d (mm)]]*(1/25.4)^2)</f>
        <v>0.40664990077638696</v>
      </c>
      <c r="W37" s="8">
        <f>Table112324[[#This Row],[M (KN.mm)]]/$G$42</f>
        <v>0.59259259259259256</v>
      </c>
      <c r="X37" s="8">
        <f>E37*224.8/(2*SQRT(Table112324[[#This Row],[fc (Mpa)]]*145.037)*Table112324[[#This Row],[b (mm)]]*Table112324[[#This Row],[d (mm)]]*(1/25.4)^2+Table112324[[#This Row],[Av fy d/s (N)]]*0.2248)</f>
        <v>0.34418310015163101</v>
      </c>
      <c r="Y37" s="15">
        <v>0.193</v>
      </c>
      <c r="Z37" s="8">
        <f>Table112324[[#This Row],[Av fy/(b S) (Mpa)]]*Table112324[[#This Row],[d (mm)]]*Table112324[[#This Row],[b (mm)]]</f>
        <v>178525</v>
      </c>
      <c r="AA37" s="8">
        <f>Table112324[[#This Row],[d (mm)]]/375</f>
        <v>2.4666666666666668</v>
      </c>
      <c r="AB37" s="8">
        <f>Table112324[[#This Row],[a/d]]*Table112324[[#This Row],[d]]</f>
        <v>2701</v>
      </c>
      <c r="AC37" s="15">
        <v>925</v>
      </c>
      <c r="AD37" s="15">
        <v>1000</v>
      </c>
      <c r="AE37" s="15">
        <v>1000</v>
      </c>
      <c r="AF37" s="15">
        <v>41</v>
      </c>
      <c r="AG37" s="8">
        <f>Table112324[[#This Row],[pho (%)]]/100*Table112324[[#This Row],[b (mm)]]*Table112324[[#This Row],[d (mm)]]</f>
        <v>12949.999999999998</v>
      </c>
      <c r="AH37" s="15">
        <v>1.4</v>
      </c>
      <c r="AI37" s="8">
        <v>508</v>
      </c>
      <c r="AJ37" s="8">
        <f>(1/3-0.21*(MIN(Table112324[[#This Row],[b (mm)]],AD37)/MAX(Table112324[[#This Row],[b (mm)]],AD37))*(MIN(Table112324[[#This Row],[b (mm)]],AD37)^4/(12*MAX(Table112324[[#This Row],[b (mm)]],AD37)^4)))*MAX(Table112324[[#This Row],[b (mm)]],AD37)*MIN(Table112324[[#This Row],[b (mm)]],AD37)^3</f>
        <v>315833333333.33331</v>
      </c>
      <c r="AK37" s="8">
        <f>Table112324[[#This Row],[b (mm)]]*AD37^3/12</f>
        <v>83333333333.333328</v>
      </c>
      <c r="AL37" s="15">
        <v>6000</v>
      </c>
    </row>
    <row r="38" spans="1:38" s="1" customFormat="1" x14ac:dyDescent="0.25">
      <c r="A38" s="56" t="s">
        <v>125</v>
      </c>
      <c r="B38" s="15">
        <v>4</v>
      </c>
      <c r="C38" s="3">
        <v>37</v>
      </c>
      <c r="D38" s="15">
        <v>2.92</v>
      </c>
      <c r="E38" s="15">
        <v>475</v>
      </c>
      <c r="F38" s="15">
        <v>925</v>
      </c>
      <c r="G38" s="8">
        <f t="shared" si="15"/>
        <v>1282975</v>
      </c>
      <c r="H38" s="8">
        <f t="shared" si="16"/>
        <v>5.8457031522334986E-7</v>
      </c>
      <c r="I38" s="8">
        <f>G38/(Table112324[[#This Row],[b (mm)]]*AC38^2)</f>
        <v>1.4994594594594595E-3</v>
      </c>
      <c r="J38" s="8">
        <f t="shared" si="17"/>
        <v>0.21083513209497465</v>
      </c>
      <c r="K38" s="8">
        <f t="shared" si="18"/>
        <v>4.7896744701947804E-8</v>
      </c>
      <c r="L38" s="8">
        <f>E38/(Table112324[[#This Row],[b (mm)]]*AC38)</f>
        <v>5.1351351351351356E-4</v>
      </c>
      <c r="M38" s="8">
        <f>Table112324[[#This Row],[M (KN.mm)]]/(Table112324[[#This Row],[b (mm)]]*Table112324[[#This Row],[d (mm)]])</f>
        <v>1.387</v>
      </c>
      <c r="N38" s="8">
        <f>Table112324[[#This Row],[M (KN.mm)]]/(Table112324[[#This Row],[b (mm)]]*Table112324[[#This Row],[h (mm)]])</f>
        <v>1.282975</v>
      </c>
      <c r="O38" s="8">
        <f>Table112324[[#This Row],[M (KN.mm)]]/(Table112324[[#This Row],[b (mm)]]*Table112324[[#This Row],[h (mm)]]*Table112324[[#This Row],[L(mm)]])</f>
        <v>2.1382916666666668E-4</v>
      </c>
      <c r="P38" s="8">
        <f>Table112324[[#This Row],[M (KN.mm)]]/(Table112324[[#This Row],[b (mm)]]*Table112324[[#This Row],[d (mm)]]*Table112324[[#This Row],[L(mm)]])</f>
        <v>2.3116666666666666E-4</v>
      </c>
      <c r="Q38" s="8">
        <f>Table112324[[#This Row],[M (KN.mm)]]/(Table112324[[#This Row],[b (mm)]]*Table112324[[#This Row],[h (mm)]]*Table112324[[#This Row],[L(mm)]]*Table112324[[#This Row],[fc (Mpa)]])</f>
        <v>5.2153455284552843E-6</v>
      </c>
      <c r="R38" s="8">
        <f>Table112324[[#This Row],[M (KN.mm)]]/(Table112324[[#This Row],[b (mm)]]*Table112324[[#This Row],[h (mm)]]*Table112324[[#This Row],[L(mm)]]/2)</f>
        <v>4.2765833333333335E-4</v>
      </c>
      <c r="S38" s="8">
        <f>Table112324[[#This Row],[M (KN.mm)]]/(Table112324[[#This Row],[a (mm)]]*Table112324[[#This Row],[b (mm)]]*Table112324[[#This Row],[h (mm)]]*Table112324[[#This Row],[L(mm)]]/2)</f>
        <v>1.5833333333333333E-7</v>
      </c>
      <c r="T38" s="8">
        <f>G38/($AN$5*AK38*0.001*Table112324[[#This Row],[pho (%)]])</f>
        <v>4.1755022515953564E-7</v>
      </c>
      <c r="U38" s="8">
        <f>Table112324[[#This Row],[M (KN.mm)]]/(Table112324[[#This Row],[b (mm)]]*Table112324[[#This Row],[d (mm)]]*Table112324[[#This Row],[pho (%)]])</f>
        <v>0.99071428571428577</v>
      </c>
      <c r="V38" s="8">
        <f>E38*224.8/(2*SQRT(Table112324[[#This Row],[fc (Mpa)]]*145.037)*Table112324[[#This Row],[b (mm)]]*Table112324[[#This Row],[d (mm)]]*(1/25.4)^2)</f>
        <v>0.48289675717195951</v>
      </c>
      <c r="W38" s="8">
        <f>Table112324[[#This Row],[M (KN.mm)]]/$G$42</f>
        <v>0.70370370370370372</v>
      </c>
      <c r="X38" s="8">
        <f>E38*224.8/(2*SQRT(Table112324[[#This Row],[fc (Mpa)]]*145.037)*Table112324[[#This Row],[b (mm)]]*Table112324[[#This Row],[d (mm)]]*(1/25.4)^2+Table112324[[#This Row],[Av fy d/s (N)]]*0.2248)</f>
        <v>0.40871743143006184</v>
      </c>
      <c r="Y38" s="15">
        <v>0.193</v>
      </c>
      <c r="Z38" s="8">
        <f>Table112324[[#This Row],[Av fy/(b S) (Mpa)]]*Table112324[[#This Row],[d (mm)]]*Table112324[[#This Row],[b (mm)]]</f>
        <v>178525</v>
      </c>
      <c r="AA38" s="8">
        <f>Table112324[[#This Row],[d (mm)]]/375</f>
        <v>2.4666666666666668</v>
      </c>
      <c r="AB38" s="8">
        <f>Table112324[[#This Row],[a/d]]*Table112324[[#This Row],[d]]</f>
        <v>2701</v>
      </c>
      <c r="AC38" s="15">
        <v>925</v>
      </c>
      <c r="AD38" s="15">
        <v>1000</v>
      </c>
      <c r="AE38" s="15">
        <v>1000</v>
      </c>
      <c r="AF38" s="15">
        <v>41</v>
      </c>
      <c r="AG38" s="8">
        <f>Table112324[[#This Row],[pho (%)]]/100*Table112324[[#This Row],[b (mm)]]*Table112324[[#This Row],[d (mm)]]</f>
        <v>12949.999999999998</v>
      </c>
      <c r="AH38" s="15">
        <v>1.4</v>
      </c>
      <c r="AI38" s="8">
        <v>508</v>
      </c>
      <c r="AJ38" s="8">
        <f>(1/3-0.21*(MIN(Table112324[[#This Row],[b (mm)]],AD38)/MAX(Table112324[[#This Row],[b (mm)]],AD38))*(MIN(Table112324[[#This Row],[b (mm)]],AD38)^4/(12*MAX(Table112324[[#This Row],[b (mm)]],AD38)^4)))*MAX(Table112324[[#This Row],[b (mm)]],AD38)*MIN(Table112324[[#This Row],[b (mm)]],AD38)^3</f>
        <v>315833333333.33331</v>
      </c>
      <c r="AK38" s="8">
        <f>Table112324[[#This Row],[b (mm)]]*AD38^3/12</f>
        <v>83333333333.333328</v>
      </c>
      <c r="AL38" s="15">
        <v>6000</v>
      </c>
    </row>
    <row r="39" spans="1:38" s="1" customFormat="1" x14ac:dyDescent="0.25">
      <c r="A39" s="56" t="s">
        <v>125</v>
      </c>
      <c r="B39" s="15">
        <v>5</v>
      </c>
      <c r="C39" s="3">
        <v>38</v>
      </c>
      <c r="D39" s="15">
        <v>2.92</v>
      </c>
      <c r="E39" s="15">
        <v>550</v>
      </c>
      <c r="F39" s="15">
        <v>925</v>
      </c>
      <c r="G39" s="8">
        <f t="shared" si="15"/>
        <v>1485550</v>
      </c>
      <c r="H39" s="8">
        <f t="shared" si="16"/>
        <v>6.7687089131124723E-7</v>
      </c>
      <c r="I39" s="8">
        <f>G39/(Table112324[[#This Row],[b (mm)]]*AC39^2)</f>
        <v>1.7362162162162162E-3</v>
      </c>
      <c r="J39" s="8">
        <f t="shared" si="17"/>
        <v>0.24412488979418118</v>
      </c>
      <c r="K39" s="8">
        <f t="shared" si="18"/>
        <v>5.5459388602255353E-8</v>
      </c>
      <c r="L39" s="8">
        <f>E39/(Table112324[[#This Row],[b (mm)]]*AC39)</f>
        <v>5.9459459459459464E-4</v>
      </c>
      <c r="M39" s="8">
        <f>Table112324[[#This Row],[M (KN.mm)]]/(Table112324[[#This Row],[b (mm)]]*Table112324[[#This Row],[d (mm)]])</f>
        <v>1.6060000000000001</v>
      </c>
      <c r="N39" s="8">
        <f>Table112324[[#This Row],[M (KN.mm)]]/(Table112324[[#This Row],[b (mm)]]*Table112324[[#This Row],[h (mm)]])</f>
        <v>1.4855499999999999</v>
      </c>
      <c r="O39" s="8">
        <f>Table112324[[#This Row],[M (KN.mm)]]/(Table112324[[#This Row],[b (mm)]]*Table112324[[#This Row],[h (mm)]]*Table112324[[#This Row],[L(mm)]])</f>
        <v>2.4759166666666666E-4</v>
      </c>
      <c r="P39" s="8">
        <f>Table112324[[#This Row],[M (KN.mm)]]/(Table112324[[#This Row],[b (mm)]]*Table112324[[#This Row],[d (mm)]]*Table112324[[#This Row],[L(mm)]])</f>
        <v>2.6766666666666665E-4</v>
      </c>
      <c r="Q39" s="8">
        <f>Table112324[[#This Row],[M (KN.mm)]]/(Table112324[[#This Row],[b (mm)]]*Table112324[[#This Row],[h (mm)]]*Table112324[[#This Row],[L(mm)]]*Table112324[[#This Row],[fc (Mpa)]])</f>
        <v>6.0388211382113821E-6</v>
      </c>
      <c r="R39" s="8">
        <f>Table112324[[#This Row],[M (KN.mm)]]/(Table112324[[#This Row],[b (mm)]]*Table112324[[#This Row],[h (mm)]]*Table112324[[#This Row],[L(mm)]]/2)</f>
        <v>4.9518333333333333E-4</v>
      </c>
      <c r="S39" s="8">
        <f>Table112324[[#This Row],[M (KN.mm)]]/(Table112324[[#This Row],[a (mm)]]*Table112324[[#This Row],[b (mm)]]*Table112324[[#This Row],[h (mm)]]*Table112324[[#This Row],[L(mm)]]/2)</f>
        <v>1.8333333333333333E-7</v>
      </c>
      <c r="T39" s="8">
        <f>G39/($AN$5*AK39*0.001*Table112324[[#This Row],[pho (%)]])</f>
        <v>4.8347920807946236E-7</v>
      </c>
      <c r="U39" s="8">
        <f>Table112324[[#This Row],[M (KN.mm)]]/(Table112324[[#This Row],[b (mm)]]*Table112324[[#This Row],[d (mm)]]*Table112324[[#This Row],[pho (%)]])</f>
        <v>1.1471428571428572</v>
      </c>
      <c r="V39" s="8">
        <f>E39*224.8/(2*SQRT(Table112324[[#This Row],[fc (Mpa)]]*145.037)*Table112324[[#This Row],[b (mm)]]*Table112324[[#This Row],[d (mm)]]*(1/25.4)^2)</f>
        <v>0.55914361356753206</v>
      </c>
      <c r="W39" s="8">
        <f>Table112324[[#This Row],[M (KN.mm)]]/$G$42</f>
        <v>0.81481481481481477</v>
      </c>
      <c r="X39" s="8">
        <f>E39*224.8/(2*SQRT(Table112324[[#This Row],[fc (Mpa)]]*145.037)*Table112324[[#This Row],[b (mm)]]*Table112324[[#This Row],[d (mm)]]*(1/25.4)^2+Table112324[[#This Row],[Av fy d/s (N)]]*0.2248)</f>
        <v>0.47325176270849262</v>
      </c>
      <c r="Y39" s="15">
        <v>0.193</v>
      </c>
      <c r="Z39" s="8">
        <f>Table112324[[#This Row],[Av fy/(b S) (Mpa)]]*Table112324[[#This Row],[d (mm)]]*Table112324[[#This Row],[b (mm)]]</f>
        <v>178525</v>
      </c>
      <c r="AA39" s="8">
        <f>Table112324[[#This Row],[d (mm)]]/375</f>
        <v>2.4666666666666668</v>
      </c>
      <c r="AB39" s="8">
        <f>Table112324[[#This Row],[a/d]]*Table112324[[#This Row],[d]]</f>
        <v>2701</v>
      </c>
      <c r="AC39" s="15">
        <v>925</v>
      </c>
      <c r="AD39" s="15">
        <v>1000</v>
      </c>
      <c r="AE39" s="15">
        <v>1000</v>
      </c>
      <c r="AF39" s="15">
        <v>41</v>
      </c>
      <c r="AG39" s="8">
        <f>Table112324[[#This Row],[pho (%)]]/100*Table112324[[#This Row],[b (mm)]]*Table112324[[#This Row],[d (mm)]]</f>
        <v>12949.999999999998</v>
      </c>
      <c r="AH39" s="15">
        <v>1.4</v>
      </c>
      <c r="AI39" s="8">
        <v>508</v>
      </c>
      <c r="AJ39" s="8">
        <f>(1/3-0.21*(MIN(Table112324[[#This Row],[b (mm)]],AD39)/MAX(Table112324[[#This Row],[b (mm)]],AD39))*(MIN(Table112324[[#This Row],[b (mm)]],AD39)^4/(12*MAX(Table112324[[#This Row],[b (mm)]],AD39)^4)))*MAX(Table112324[[#This Row],[b (mm)]],AD39)*MIN(Table112324[[#This Row],[b (mm)]],AD39)^3</f>
        <v>315833333333.33331</v>
      </c>
      <c r="AK39" s="8">
        <f>Table112324[[#This Row],[b (mm)]]*AD39^3/12</f>
        <v>83333333333.333328</v>
      </c>
      <c r="AL39" s="15">
        <v>6000</v>
      </c>
    </row>
    <row r="40" spans="1:38" s="1" customFormat="1" x14ac:dyDescent="0.25">
      <c r="A40" s="56" t="s">
        <v>125</v>
      </c>
      <c r="B40" s="15">
        <v>6</v>
      </c>
      <c r="C40" s="3">
        <v>39</v>
      </c>
      <c r="D40" s="15">
        <v>2.92</v>
      </c>
      <c r="E40" s="15">
        <v>625</v>
      </c>
      <c r="F40" s="15">
        <v>925</v>
      </c>
      <c r="G40" s="8">
        <f t="shared" si="15"/>
        <v>1688125</v>
      </c>
      <c r="H40" s="8">
        <f t="shared" si="16"/>
        <v>7.6917146739914461E-7</v>
      </c>
      <c r="I40" s="8">
        <f>G40/(Table112324[[#This Row],[b (mm)]]*AC40^2)</f>
        <v>1.9729729729729729E-3</v>
      </c>
      <c r="J40" s="8">
        <f t="shared" si="17"/>
        <v>0.27741464749338768</v>
      </c>
      <c r="K40" s="8">
        <f t="shared" si="18"/>
        <v>6.3022032502562902E-8</v>
      </c>
      <c r="L40" s="8">
        <f>E40/(Table112324[[#This Row],[b (mm)]]*AC40)</f>
        <v>6.7567567567567571E-4</v>
      </c>
      <c r="M40" s="8">
        <f>Table112324[[#This Row],[M (KN.mm)]]/(Table112324[[#This Row],[b (mm)]]*Table112324[[#This Row],[d (mm)]])</f>
        <v>1.825</v>
      </c>
      <c r="N40" s="8">
        <f>Table112324[[#This Row],[M (KN.mm)]]/(Table112324[[#This Row],[b (mm)]]*Table112324[[#This Row],[h (mm)]])</f>
        <v>1.6881250000000001</v>
      </c>
      <c r="O40" s="8">
        <f>Table112324[[#This Row],[M (KN.mm)]]/(Table112324[[#This Row],[b (mm)]]*Table112324[[#This Row],[h (mm)]]*Table112324[[#This Row],[L(mm)]])</f>
        <v>2.8135416666666668E-4</v>
      </c>
      <c r="P40" s="8">
        <f>Table112324[[#This Row],[M (KN.mm)]]/(Table112324[[#This Row],[b (mm)]]*Table112324[[#This Row],[d (mm)]]*Table112324[[#This Row],[L(mm)]])</f>
        <v>3.0416666666666667E-4</v>
      </c>
      <c r="Q40" s="8">
        <f>Table112324[[#This Row],[M (KN.mm)]]/(Table112324[[#This Row],[b (mm)]]*Table112324[[#This Row],[h (mm)]]*Table112324[[#This Row],[L(mm)]]*Table112324[[#This Row],[fc (Mpa)]])</f>
        <v>6.8622967479674799E-6</v>
      </c>
      <c r="R40" s="8">
        <f>Table112324[[#This Row],[M (KN.mm)]]/(Table112324[[#This Row],[b (mm)]]*Table112324[[#This Row],[h (mm)]]*Table112324[[#This Row],[L(mm)]]/2)</f>
        <v>5.6270833333333335E-4</v>
      </c>
      <c r="S40" s="8">
        <f>Table112324[[#This Row],[M (KN.mm)]]/(Table112324[[#This Row],[a (mm)]]*Table112324[[#This Row],[b (mm)]]*Table112324[[#This Row],[h (mm)]]*Table112324[[#This Row],[L(mm)]]/2)</f>
        <v>2.0833333333333333E-7</v>
      </c>
      <c r="T40" s="8">
        <f>G40/($AN$5*AK40*0.001*Table112324[[#This Row],[pho (%)]])</f>
        <v>5.4940819099938902E-7</v>
      </c>
      <c r="U40" s="8">
        <f>Table112324[[#This Row],[M (KN.mm)]]/(Table112324[[#This Row],[b (mm)]]*Table112324[[#This Row],[d (mm)]]*Table112324[[#This Row],[pho (%)]])</f>
        <v>1.3035714285714286</v>
      </c>
      <c r="V40" s="8">
        <f>E40*224.8/(2*SQRT(Table112324[[#This Row],[fc (Mpa)]]*145.037)*Table112324[[#This Row],[b (mm)]]*Table112324[[#This Row],[d (mm)]]*(1/25.4)^2)</f>
        <v>0.63539046996310455</v>
      </c>
      <c r="W40" s="8">
        <f>Table112324[[#This Row],[M (KN.mm)]]/$G$42</f>
        <v>0.92592592592592593</v>
      </c>
      <c r="X40" s="8">
        <f>E40*224.8/(2*SQRT(Table112324[[#This Row],[fc (Mpa)]]*145.037)*Table112324[[#This Row],[b (mm)]]*Table112324[[#This Row],[d (mm)]]*(1/25.4)^2+Table112324[[#This Row],[Av fy d/s (N)]]*0.2248)</f>
        <v>0.53778609398692345</v>
      </c>
      <c r="Y40" s="15">
        <v>0.193</v>
      </c>
      <c r="Z40" s="8">
        <f>Table112324[[#This Row],[Av fy/(b S) (Mpa)]]*Table112324[[#This Row],[d (mm)]]*Table112324[[#This Row],[b (mm)]]</f>
        <v>178525</v>
      </c>
      <c r="AA40" s="8">
        <f>Table112324[[#This Row],[d (mm)]]/375</f>
        <v>2.4666666666666668</v>
      </c>
      <c r="AB40" s="8">
        <f>Table112324[[#This Row],[a/d]]*Table112324[[#This Row],[d]]</f>
        <v>2701</v>
      </c>
      <c r="AC40" s="15">
        <v>925</v>
      </c>
      <c r="AD40" s="15">
        <v>1000</v>
      </c>
      <c r="AE40" s="15">
        <v>1000</v>
      </c>
      <c r="AF40" s="15">
        <v>41</v>
      </c>
      <c r="AG40" s="8">
        <f>Table112324[[#This Row],[pho (%)]]/100*Table112324[[#This Row],[b (mm)]]*Table112324[[#This Row],[d (mm)]]</f>
        <v>12949.999999999998</v>
      </c>
      <c r="AH40" s="15">
        <v>1.4</v>
      </c>
      <c r="AI40" s="8">
        <v>508</v>
      </c>
      <c r="AJ40" s="8">
        <f>(1/3-0.21*(MIN(Table112324[[#This Row],[b (mm)]],AD40)/MAX(Table112324[[#This Row],[b (mm)]],AD40))*(MIN(Table112324[[#This Row],[b (mm)]],AD40)^4/(12*MAX(Table112324[[#This Row],[b (mm)]],AD40)^4)))*MAX(Table112324[[#This Row],[b (mm)]],AD40)*MIN(Table112324[[#This Row],[b (mm)]],AD40)^3</f>
        <v>315833333333.33331</v>
      </c>
      <c r="AK40" s="8">
        <f>Table112324[[#This Row],[b (mm)]]*AD40^3/12</f>
        <v>83333333333.333328</v>
      </c>
      <c r="AL40" s="15">
        <v>6000</v>
      </c>
    </row>
    <row r="41" spans="1:38" s="1" customFormat="1" x14ac:dyDescent="0.25">
      <c r="A41" s="56" t="s">
        <v>125</v>
      </c>
      <c r="B41" s="15">
        <v>7</v>
      </c>
      <c r="C41" s="3">
        <v>40</v>
      </c>
      <c r="D41" s="15">
        <v>2.92</v>
      </c>
      <c r="E41" s="15">
        <v>660</v>
      </c>
      <c r="F41" s="15">
        <v>925</v>
      </c>
      <c r="G41" s="8">
        <f t="shared" si="15"/>
        <v>1782660</v>
      </c>
      <c r="H41" s="8">
        <f t="shared" si="16"/>
        <v>8.1224506957349672E-7</v>
      </c>
      <c r="I41" s="8">
        <f>G41/(Table112324[[#This Row],[b (mm)]]*AC41^2)</f>
        <v>2.0834594594594594E-3</v>
      </c>
      <c r="J41" s="8">
        <f t="shared" si="17"/>
        <v>0.2929498677530174</v>
      </c>
      <c r="K41" s="8">
        <f t="shared" si="18"/>
        <v>6.6551266322706421E-8</v>
      </c>
      <c r="L41" s="8">
        <f>E41/(Table112324[[#This Row],[b (mm)]]*AC41)</f>
        <v>7.1351351351351354E-4</v>
      </c>
      <c r="M41" s="8">
        <f>Table112324[[#This Row],[M (KN.mm)]]/(Table112324[[#This Row],[b (mm)]]*Table112324[[#This Row],[d (mm)]])</f>
        <v>1.9272</v>
      </c>
      <c r="N41" s="8">
        <f>Table112324[[#This Row],[M (KN.mm)]]/(Table112324[[#This Row],[b (mm)]]*Table112324[[#This Row],[h (mm)]])</f>
        <v>1.7826599999999999</v>
      </c>
      <c r="O41" s="8">
        <f>Table112324[[#This Row],[M (KN.mm)]]/(Table112324[[#This Row],[b (mm)]]*Table112324[[#This Row],[h (mm)]]*Table112324[[#This Row],[L(mm)]])</f>
        <v>2.9711000000000001E-4</v>
      </c>
      <c r="P41" s="8">
        <f>Table112324[[#This Row],[M (KN.mm)]]/(Table112324[[#This Row],[b (mm)]]*Table112324[[#This Row],[d (mm)]]*Table112324[[#This Row],[L(mm)]])</f>
        <v>3.212E-4</v>
      </c>
      <c r="Q41" s="8">
        <f>Table112324[[#This Row],[M (KN.mm)]]/(Table112324[[#This Row],[b (mm)]]*Table112324[[#This Row],[h (mm)]]*Table112324[[#This Row],[L(mm)]]*Table112324[[#This Row],[fc (Mpa)]])</f>
        <v>7.2465853658536588E-6</v>
      </c>
      <c r="R41" s="8">
        <f>Table112324[[#This Row],[M (KN.mm)]]/(Table112324[[#This Row],[b (mm)]]*Table112324[[#This Row],[h (mm)]]*Table112324[[#This Row],[L(mm)]]/2)</f>
        <v>5.9422000000000001E-4</v>
      </c>
      <c r="S41" s="8">
        <f>Table112324[[#This Row],[M (KN.mm)]]/(Table112324[[#This Row],[a (mm)]]*Table112324[[#This Row],[b (mm)]]*Table112324[[#This Row],[h (mm)]]*Table112324[[#This Row],[L(mm)]]/2)</f>
        <v>2.2000000000000001E-7</v>
      </c>
      <c r="T41" s="8">
        <f>G41/($AN$5*AK41*0.001*Table112324[[#This Row],[pho (%)]])</f>
        <v>5.8017504969535474E-7</v>
      </c>
      <c r="U41" s="8">
        <f>Table112324[[#This Row],[M (KN.mm)]]/(Table112324[[#This Row],[b (mm)]]*Table112324[[#This Row],[d (mm)]]*Table112324[[#This Row],[pho (%)]])</f>
        <v>1.3765714285714286</v>
      </c>
      <c r="V41" s="8">
        <f>E41*224.8/(2*SQRT(Table112324[[#This Row],[fc (Mpa)]]*145.037)*Table112324[[#This Row],[b (mm)]]*Table112324[[#This Row],[d (mm)]]*(1/25.4)^2)</f>
        <v>0.67097233628103847</v>
      </c>
      <c r="W41" s="8">
        <f>Table112324[[#This Row],[M (KN.mm)]]/$G$42</f>
        <v>0.97777777777777775</v>
      </c>
      <c r="X41" s="8">
        <f>E41*224.8/(2*SQRT(Table112324[[#This Row],[fc (Mpa)]]*145.037)*Table112324[[#This Row],[b (mm)]]*Table112324[[#This Row],[d (mm)]]*(1/25.4)^2+Table112324[[#This Row],[Av fy d/s (N)]]*0.2248)</f>
        <v>0.56790211525019119</v>
      </c>
      <c r="Y41" s="15">
        <v>0.193</v>
      </c>
      <c r="Z41" s="8">
        <f>Table112324[[#This Row],[Av fy/(b S) (Mpa)]]*Table112324[[#This Row],[d (mm)]]*Table112324[[#This Row],[b (mm)]]</f>
        <v>178525</v>
      </c>
      <c r="AA41" s="8">
        <f>Table112324[[#This Row],[d (mm)]]/375</f>
        <v>2.4666666666666668</v>
      </c>
      <c r="AB41" s="8">
        <f>Table112324[[#This Row],[a/d]]*Table112324[[#This Row],[d]]</f>
        <v>2701</v>
      </c>
      <c r="AC41" s="15">
        <v>925</v>
      </c>
      <c r="AD41" s="15">
        <v>1000</v>
      </c>
      <c r="AE41" s="15">
        <v>1000</v>
      </c>
      <c r="AF41" s="15">
        <v>41</v>
      </c>
      <c r="AG41" s="8">
        <f>Table112324[[#This Row],[pho (%)]]/100*Table112324[[#This Row],[b (mm)]]*Table112324[[#This Row],[d (mm)]]</f>
        <v>12949.999999999998</v>
      </c>
      <c r="AH41" s="15">
        <v>1.4</v>
      </c>
      <c r="AI41" s="8">
        <v>508</v>
      </c>
      <c r="AJ41" s="8">
        <f>(1/3-0.21*(MIN(Table112324[[#This Row],[b (mm)]],AD41)/MAX(Table112324[[#This Row],[b (mm)]],AD41))*(MIN(Table112324[[#This Row],[b (mm)]],AD41)^4/(12*MAX(Table112324[[#This Row],[b (mm)]],AD41)^4)))*MAX(Table112324[[#This Row],[b (mm)]],AD41)*MIN(Table112324[[#This Row],[b (mm)]],AD41)^3</f>
        <v>315833333333.33331</v>
      </c>
      <c r="AK41" s="8">
        <f>Table112324[[#This Row],[b (mm)]]*AD41^3/12</f>
        <v>83333333333.333328</v>
      </c>
      <c r="AL41" s="15">
        <v>6000</v>
      </c>
    </row>
    <row r="42" spans="1:38" s="1" customFormat="1" x14ac:dyDescent="0.25">
      <c r="A42" s="56" t="s">
        <v>125</v>
      </c>
      <c r="B42" s="15">
        <v>8</v>
      </c>
      <c r="C42" s="3">
        <v>41</v>
      </c>
      <c r="D42" s="15">
        <v>2.92</v>
      </c>
      <c r="E42" s="15">
        <v>675</v>
      </c>
      <c r="F42" s="15">
        <v>925</v>
      </c>
      <c r="G42" s="8">
        <f t="shared" si="15"/>
        <v>1823175</v>
      </c>
      <c r="H42" s="8">
        <f t="shared" si="16"/>
        <v>8.3070518479107616E-7</v>
      </c>
      <c r="I42" s="8">
        <f>G42/(Table112324[[#This Row],[b (mm)]]*AC42^2)</f>
        <v>2.1308108108108108E-3</v>
      </c>
      <c r="J42" s="8">
        <f t="shared" si="17"/>
        <v>0.29960781929285873</v>
      </c>
      <c r="K42" s="8">
        <f t="shared" si="18"/>
        <v>6.8063795102767931E-8</v>
      </c>
      <c r="L42" s="8">
        <f>E42/(Table112324[[#This Row],[b (mm)]]*AC42)</f>
        <v>7.2972972972972969E-4</v>
      </c>
      <c r="M42" s="8">
        <f>Table112324[[#This Row],[M (KN.mm)]]/(Table112324[[#This Row],[b (mm)]]*Table112324[[#This Row],[d (mm)]])</f>
        <v>1.9710000000000001</v>
      </c>
      <c r="N42" s="8">
        <f>Table112324[[#This Row],[M (KN.mm)]]/(Table112324[[#This Row],[b (mm)]]*Table112324[[#This Row],[h (mm)]])</f>
        <v>1.823175</v>
      </c>
      <c r="O42" s="8">
        <f>Table112324[[#This Row],[M (KN.mm)]]/(Table112324[[#This Row],[b (mm)]]*Table112324[[#This Row],[h (mm)]]*Table112324[[#This Row],[L(mm)]])</f>
        <v>3.0386250000000002E-4</v>
      </c>
      <c r="P42" s="8">
        <f>Table112324[[#This Row],[M (KN.mm)]]/(Table112324[[#This Row],[b (mm)]]*Table112324[[#This Row],[d (mm)]]*Table112324[[#This Row],[L(mm)]])</f>
        <v>3.2850000000000002E-4</v>
      </c>
      <c r="Q42" s="8">
        <f>Table112324[[#This Row],[M (KN.mm)]]/(Table112324[[#This Row],[b (mm)]]*Table112324[[#This Row],[h (mm)]]*Table112324[[#This Row],[L(mm)]]*Table112324[[#This Row],[fc (Mpa)]])</f>
        <v>7.4112804878048784E-6</v>
      </c>
      <c r="R42" s="8">
        <f>Table112324[[#This Row],[M (KN.mm)]]/(Table112324[[#This Row],[b (mm)]]*Table112324[[#This Row],[h (mm)]]*Table112324[[#This Row],[L(mm)]]/2)</f>
        <v>6.0772500000000004E-4</v>
      </c>
      <c r="S42" s="8">
        <f>Table112324[[#This Row],[M (KN.mm)]]/(Table112324[[#This Row],[a (mm)]]*Table112324[[#This Row],[b (mm)]]*Table112324[[#This Row],[h (mm)]]*Table112324[[#This Row],[L(mm)]]/2)</f>
        <v>2.2499999999999999E-7</v>
      </c>
      <c r="T42" s="8">
        <f>G42/($AN$5*AK42*0.001*Table112324[[#This Row],[pho (%)]])</f>
        <v>5.933608462793401E-7</v>
      </c>
      <c r="U42" s="8">
        <f>Table112324[[#This Row],[M (KN.mm)]]/(Table112324[[#This Row],[b (mm)]]*Table112324[[#This Row],[d (mm)]]*Table112324[[#This Row],[pho (%)]])</f>
        <v>1.4078571428571429</v>
      </c>
      <c r="V42" s="8">
        <f>E42*224.8/(2*SQRT(Table112324[[#This Row],[fc (Mpa)]]*145.037)*Table112324[[#This Row],[b (mm)]]*Table112324[[#This Row],[d (mm)]]*(1/25.4)^2)</f>
        <v>0.68622170756015299</v>
      </c>
      <c r="W42" s="8">
        <f>Table112324[[#This Row],[M (KN.mm)]]/$G$42</f>
        <v>1</v>
      </c>
      <c r="X42" s="8">
        <f>E42*224.8/(2*SQRT(Table112324[[#This Row],[fc (Mpa)]]*145.037)*Table112324[[#This Row],[b (mm)]]*Table112324[[#This Row],[d (mm)]]*(1/25.4)^2+Table112324[[#This Row],[Av fy d/s (N)]]*0.2248)</f>
        <v>0.58080898150587734</v>
      </c>
      <c r="Y42" s="15">
        <v>0.193</v>
      </c>
      <c r="Z42" s="8">
        <f>Table112324[[#This Row],[Av fy/(b S) (Mpa)]]*Table112324[[#This Row],[d (mm)]]*Table112324[[#This Row],[b (mm)]]</f>
        <v>178525</v>
      </c>
      <c r="AA42" s="8">
        <f>Table112324[[#This Row],[d (mm)]]/375</f>
        <v>2.4666666666666668</v>
      </c>
      <c r="AB42" s="8">
        <f>Table112324[[#This Row],[a/d]]*Table112324[[#This Row],[d]]</f>
        <v>2701</v>
      </c>
      <c r="AC42" s="15">
        <v>925</v>
      </c>
      <c r="AD42" s="15">
        <v>1000</v>
      </c>
      <c r="AE42" s="15">
        <v>1000</v>
      </c>
      <c r="AF42" s="15">
        <v>41</v>
      </c>
      <c r="AG42" s="8">
        <f>Table112324[[#This Row],[pho (%)]]/100*Table112324[[#This Row],[b (mm)]]*Table112324[[#This Row],[d (mm)]]</f>
        <v>12949.999999999998</v>
      </c>
      <c r="AH42" s="15">
        <v>1.4</v>
      </c>
      <c r="AI42" s="8">
        <v>508</v>
      </c>
      <c r="AJ42" s="8">
        <f>(1/3-0.21*(MIN(Table112324[[#This Row],[b (mm)]],AD42)/MAX(Table112324[[#This Row],[b (mm)]],AD42))*(MIN(Table112324[[#This Row],[b (mm)]],AD42)^4/(12*MAX(Table112324[[#This Row],[b (mm)]],AD42)^4)))*MAX(Table112324[[#This Row],[b (mm)]],AD42)*MIN(Table112324[[#This Row],[b (mm)]],AD42)^3</f>
        <v>315833333333.33331</v>
      </c>
      <c r="AK42" s="8">
        <f>Table112324[[#This Row],[b (mm)]]*AD42^3/12</f>
        <v>83333333333.333328</v>
      </c>
      <c r="AL42" s="15">
        <v>6000</v>
      </c>
    </row>
    <row r="43" spans="1:38" s="1" customFormat="1" x14ac:dyDescent="0.25">
      <c r="A43" s="66" t="s">
        <v>126</v>
      </c>
      <c r="B43" s="15">
        <v>1</v>
      </c>
      <c r="C43" s="3">
        <v>42</v>
      </c>
      <c r="D43" s="15">
        <v>2.92</v>
      </c>
      <c r="E43" s="15">
        <v>250</v>
      </c>
      <c r="F43" s="15">
        <v>925</v>
      </c>
      <c r="G43" s="8">
        <f t="shared" ref="G43:G49" si="19">E43*AB43</f>
        <v>675250</v>
      </c>
      <c r="H43" s="8">
        <f t="shared" ref="H43:H49" si="20">G43/($AN$5*AK43*0.001)</f>
        <v>3.0766858695965784E-7</v>
      </c>
      <c r="I43" s="8">
        <f>G43/(Table112324[[#This Row],[b (mm)]]*AC43^2)</f>
        <v>7.891891891891892E-4</v>
      </c>
      <c r="J43" s="8">
        <f t="shared" ref="J43:J49" si="21">G43/(AG43*AI43*AC43*0.001)</f>
        <v>0.11096585899735507</v>
      </c>
      <c r="K43" s="8">
        <f t="shared" ref="K43:K49" si="22">E43/($AN$4*AJ43*0.001)</f>
        <v>2.5208813001025159E-8</v>
      </c>
      <c r="L43" s="8">
        <f>E43/(Table112324[[#This Row],[b (mm)]]*AC43)</f>
        <v>2.7027027027027027E-4</v>
      </c>
      <c r="M43" s="8">
        <f>Table112324[[#This Row],[M (KN.mm)]]/(Table112324[[#This Row],[b (mm)]]*Table112324[[#This Row],[d (mm)]])</f>
        <v>0.73</v>
      </c>
      <c r="N43" s="8">
        <f>Table112324[[#This Row],[M (KN.mm)]]/(Table112324[[#This Row],[b (mm)]]*Table112324[[#This Row],[h (mm)]])</f>
        <v>0.67525000000000002</v>
      </c>
      <c r="O43" s="8">
        <f>Table112324[[#This Row],[M (KN.mm)]]/(Table112324[[#This Row],[b (mm)]]*Table112324[[#This Row],[h (mm)]]*Table112324[[#This Row],[L(mm)]])</f>
        <v>1.1254166666666666E-4</v>
      </c>
      <c r="P43" s="8">
        <f>Table112324[[#This Row],[M (KN.mm)]]/(Table112324[[#This Row],[b (mm)]]*Table112324[[#This Row],[d (mm)]]*Table112324[[#This Row],[L(mm)]])</f>
        <v>1.2166666666666667E-4</v>
      </c>
      <c r="Q43" s="8">
        <f>Table112324[[#This Row],[M (KN.mm)]]/(Table112324[[#This Row],[b (mm)]]*Table112324[[#This Row],[h (mm)]]*Table112324[[#This Row],[L(mm)]]*Table112324[[#This Row],[fc (Mpa)]])</f>
        <v>2.9616228070175437E-6</v>
      </c>
      <c r="R43" s="8">
        <f>Table112324[[#This Row],[M (KN.mm)]]/(Table112324[[#This Row],[b (mm)]]*Table112324[[#This Row],[h (mm)]]*Table112324[[#This Row],[L(mm)]]/2)</f>
        <v>2.2508333333333332E-4</v>
      </c>
      <c r="S43" s="8">
        <f>Table112324[[#This Row],[M (KN.mm)]]/(Table112324[[#This Row],[a (mm)]]*Table112324[[#This Row],[b (mm)]]*Table112324[[#This Row],[h (mm)]]*Table112324[[#This Row],[L(mm)]]/2)</f>
        <v>8.3333333333333338E-8</v>
      </c>
      <c r="T43" s="8">
        <f>G43/($AN$5*AK43*0.001*Table112324[[#This Row],[pho (%)]])</f>
        <v>2.1976327639975559E-7</v>
      </c>
      <c r="U43" s="8">
        <f>Table112324[[#This Row],[M (KN.mm)]]/(Table112324[[#This Row],[b (mm)]]*Table112324[[#This Row],[d (mm)]]*Table112324[[#This Row],[pho (%)]])</f>
        <v>0.52142857142857146</v>
      </c>
      <c r="V43" s="8">
        <f>E43*224.8/(2*SQRT(Table112324[[#This Row],[fc (Mpa)]]*145.037)*Table112324[[#This Row],[b (mm)]]*Table112324[[#This Row],[d (mm)]]*(1/25.4)^2)</f>
        <v>0.26399811021745734</v>
      </c>
      <c r="W43" s="8">
        <f>Table112324[[#This Row],[M (KN.mm)]]/$G$49</f>
        <v>0.30864197530864196</v>
      </c>
      <c r="X43" s="8">
        <f>E43*224.8/(2*SQRT(Table112324[[#This Row],[fc (Mpa)]]*145.037)*Table112324[[#This Row],[b (mm)]]*Table112324[[#This Row],[d (mm)]]*(1/25.4)^2+Table112324[[#This Row],[Av fy d/s (N)]]*0.2248)</f>
        <v>0.22212320943326952</v>
      </c>
      <c r="Y43" s="15">
        <v>0.193</v>
      </c>
      <c r="Z43" s="8">
        <f>Table112324[[#This Row],[Av fy/(b S) (Mpa)]]*Table112324[[#This Row],[d (mm)]]*Table112324[[#This Row],[b (mm)]]</f>
        <v>178525</v>
      </c>
      <c r="AA43" s="8">
        <f>Table112324[[#This Row],[d (mm)]]/375</f>
        <v>2.4666666666666668</v>
      </c>
      <c r="AB43" s="8">
        <f>Table112324[[#This Row],[a/d]]*Table112324[[#This Row],[d]]</f>
        <v>2701</v>
      </c>
      <c r="AC43" s="15">
        <v>925</v>
      </c>
      <c r="AD43" s="15">
        <v>1000</v>
      </c>
      <c r="AE43" s="15">
        <v>1000</v>
      </c>
      <c r="AF43" s="15">
        <v>38</v>
      </c>
      <c r="AG43" s="8">
        <f>Table112324[[#This Row],[pho (%)]]/100*Table112324[[#This Row],[b (mm)]]*Table112324[[#This Row],[d (mm)]]</f>
        <v>12949.999999999998</v>
      </c>
      <c r="AH43" s="15">
        <v>1.4</v>
      </c>
      <c r="AI43" s="8">
        <v>508</v>
      </c>
      <c r="AJ43" s="8">
        <f>(1/3-0.21*(MIN(Table112324[[#This Row],[b (mm)]],AD43)/MAX(Table112324[[#This Row],[b (mm)]],AD43))*(MIN(Table112324[[#This Row],[b (mm)]],AD43)^4/(12*MAX(Table112324[[#This Row],[b (mm)]],AD43)^4)))*MAX(Table112324[[#This Row],[b (mm)]],AD43)*MIN(Table112324[[#This Row],[b (mm)]],AD43)^3</f>
        <v>315833333333.33331</v>
      </c>
      <c r="AK43" s="8">
        <f>Table112324[[#This Row],[b (mm)]]*AD43^3/12</f>
        <v>83333333333.333328</v>
      </c>
      <c r="AL43" s="15">
        <v>6000</v>
      </c>
    </row>
    <row r="44" spans="1:38" s="1" customFormat="1" x14ac:dyDescent="0.25">
      <c r="A44" s="66" t="s">
        <v>126</v>
      </c>
      <c r="B44" s="15">
        <v>2</v>
      </c>
      <c r="C44" s="3">
        <v>43</v>
      </c>
      <c r="D44" s="15">
        <v>2.92</v>
      </c>
      <c r="E44" s="15">
        <v>400</v>
      </c>
      <c r="F44" s="15">
        <v>925</v>
      </c>
      <c r="G44" s="8">
        <f t="shared" si="19"/>
        <v>1080400</v>
      </c>
      <c r="H44" s="8">
        <f t="shared" si="20"/>
        <v>4.9226973913545249E-7</v>
      </c>
      <c r="I44" s="8">
        <f>G44/(Table112324[[#This Row],[b (mm)]]*AC44^2)</f>
        <v>1.2627027027027028E-3</v>
      </c>
      <c r="J44" s="8">
        <f t="shared" si="21"/>
        <v>0.17754537439576812</v>
      </c>
      <c r="K44" s="8">
        <f t="shared" si="22"/>
        <v>4.0334100801640254E-8</v>
      </c>
      <c r="L44" s="8">
        <f>E44/(Table112324[[#This Row],[b (mm)]]*AC44)</f>
        <v>4.3243243243243243E-4</v>
      </c>
      <c r="M44" s="8">
        <f>Table112324[[#This Row],[M (KN.mm)]]/(Table112324[[#This Row],[b (mm)]]*Table112324[[#This Row],[d (mm)]])</f>
        <v>1.1679999999999999</v>
      </c>
      <c r="N44" s="8">
        <f>Table112324[[#This Row],[M (KN.mm)]]/(Table112324[[#This Row],[b (mm)]]*Table112324[[#This Row],[h (mm)]])</f>
        <v>1.0804</v>
      </c>
      <c r="O44" s="8">
        <f>Table112324[[#This Row],[M (KN.mm)]]/(Table112324[[#This Row],[b (mm)]]*Table112324[[#This Row],[h (mm)]]*Table112324[[#This Row],[L(mm)]])</f>
        <v>1.8006666666666666E-4</v>
      </c>
      <c r="P44" s="8">
        <f>Table112324[[#This Row],[M (KN.mm)]]/(Table112324[[#This Row],[b (mm)]]*Table112324[[#This Row],[d (mm)]]*Table112324[[#This Row],[L(mm)]])</f>
        <v>1.9466666666666666E-4</v>
      </c>
      <c r="Q44" s="8">
        <f>Table112324[[#This Row],[M (KN.mm)]]/(Table112324[[#This Row],[b (mm)]]*Table112324[[#This Row],[h (mm)]]*Table112324[[#This Row],[L(mm)]]*Table112324[[#This Row],[fc (Mpa)]])</f>
        <v>4.7385964912280703E-6</v>
      </c>
      <c r="R44" s="8">
        <f>Table112324[[#This Row],[M (KN.mm)]]/(Table112324[[#This Row],[b (mm)]]*Table112324[[#This Row],[h (mm)]]*Table112324[[#This Row],[L(mm)]]/2)</f>
        <v>3.6013333333333332E-4</v>
      </c>
      <c r="S44" s="8">
        <f>Table112324[[#This Row],[M (KN.mm)]]/(Table112324[[#This Row],[a (mm)]]*Table112324[[#This Row],[b (mm)]]*Table112324[[#This Row],[h (mm)]]*Table112324[[#This Row],[L(mm)]]/2)</f>
        <v>1.3333333333333334E-7</v>
      </c>
      <c r="T44" s="8">
        <f>G44/($AN$5*AK44*0.001*Table112324[[#This Row],[pho (%)]])</f>
        <v>3.5162124223960897E-7</v>
      </c>
      <c r="U44" s="8">
        <f>Table112324[[#This Row],[M (KN.mm)]]/(Table112324[[#This Row],[b (mm)]]*Table112324[[#This Row],[d (mm)]]*Table112324[[#This Row],[pho (%)]])</f>
        <v>0.8342857142857143</v>
      </c>
      <c r="V44" s="8">
        <f>E44*224.8/(2*SQRT(Table112324[[#This Row],[fc (Mpa)]]*145.037)*Table112324[[#This Row],[b (mm)]]*Table112324[[#This Row],[d (mm)]]*(1/25.4)^2)</f>
        <v>0.42239697634793172</v>
      </c>
      <c r="W44" s="8">
        <f>Table112324[[#This Row],[M (KN.mm)]]/$G$49</f>
        <v>0.49382716049382713</v>
      </c>
      <c r="X44" s="8">
        <f>E44*224.8/(2*SQRT(Table112324[[#This Row],[fc (Mpa)]]*145.037)*Table112324[[#This Row],[b (mm)]]*Table112324[[#This Row],[d (mm)]]*(1/25.4)^2+Table112324[[#This Row],[Av fy d/s (N)]]*0.2248)</f>
        <v>0.35539713509323123</v>
      </c>
      <c r="Y44" s="15">
        <v>0.193</v>
      </c>
      <c r="Z44" s="8">
        <f>Table112324[[#This Row],[Av fy/(b S) (Mpa)]]*Table112324[[#This Row],[d (mm)]]*Table112324[[#This Row],[b (mm)]]</f>
        <v>178525</v>
      </c>
      <c r="AA44" s="8">
        <f>Table112324[[#This Row],[d (mm)]]/375</f>
        <v>2.4666666666666668</v>
      </c>
      <c r="AB44" s="8">
        <f>Table112324[[#This Row],[a/d]]*Table112324[[#This Row],[d]]</f>
        <v>2701</v>
      </c>
      <c r="AC44" s="15">
        <v>925</v>
      </c>
      <c r="AD44" s="15">
        <v>1000</v>
      </c>
      <c r="AE44" s="15">
        <v>1000</v>
      </c>
      <c r="AF44" s="15">
        <v>38</v>
      </c>
      <c r="AG44" s="8">
        <f>Table112324[[#This Row],[pho (%)]]/100*Table112324[[#This Row],[b (mm)]]*Table112324[[#This Row],[d (mm)]]</f>
        <v>12949.999999999998</v>
      </c>
      <c r="AH44" s="15">
        <v>1.4</v>
      </c>
      <c r="AI44" s="8">
        <v>508</v>
      </c>
      <c r="AJ44" s="8">
        <f>(1/3-0.21*(MIN(Table112324[[#This Row],[b (mm)]],AD44)/MAX(Table112324[[#This Row],[b (mm)]],AD44))*(MIN(Table112324[[#This Row],[b (mm)]],AD44)^4/(12*MAX(Table112324[[#This Row],[b (mm)]],AD44)^4)))*MAX(Table112324[[#This Row],[b (mm)]],AD44)*MIN(Table112324[[#This Row],[b (mm)]],AD44)^3</f>
        <v>315833333333.33331</v>
      </c>
      <c r="AK44" s="8">
        <f>Table112324[[#This Row],[b (mm)]]*AD44^3/12</f>
        <v>83333333333.333328</v>
      </c>
      <c r="AL44" s="15">
        <v>6000</v>
      </c>
    </row>
    <row r="45" spans="1:38" s="1" customFormat="1" x14ac:dyDescent="0.25">
      <c r="A45" s="66" t="s">
        <v>126</v>
      </c>
      <c r="B45" s="15">
        <v>3</v>
      </c>
      <c r="C45" s="3">
        <v>44</v>
      </c>
      <c r="D45" s="15">
        <v>2.92</v>
      </c>
      <c r="E45" s="15">
        <v>550</v>
      </c>
      <c r="F45" s="15">
        <v>925</v>
      </c>
      <c r="G45" s="8">
        <f t="shared" si="19"/>
        <v>1485550</v>
      </c>
      <c r="H45" s="8">
        <f t="shared" si="20"/>
        <v>6.7687089131124723E-7</v>
      </c>
      <c r="I45" s="8">
        <f>G45/(Table112324[[#This Row],[b (mm)]]*AC45^2)</f>
        <v>1.7362162162162162E-3</v>
      </c>
      <c r="J45" s="8">
        <f t="shared" si="21"/>
        <v>0.24412488979418118</v>
      </c>
      <c r="K45" s="8">
        <f t="shared" si="22"/>
        <v>5.5459388602255353E-8</v>
      </c>
      <c r="L45" s="8">
        <f>E45/(Table112324[[#This Row],[b (mm)]]*AC45)</f>
        <v>5.9459459459459464E-4</v>
      </c>
      <c r="M45" s="8">
        <f>Table112324[[#This Row],[M (KN.mm)]]/(Table112324[[#This Row],[b (mm)]]*Table112324[[#This Row],[d (mm)]])</f>
        <v>1.6060000000000001</v>
      </c>
      <c r="N45" s="8">
        <f>Table112324[[#This Row],[M (KN.mm)]]/(Table112324[[#This Row],[b (mm)]]*Table112324[[#This Row],[h (mm)]])</f>
        <v>1.4855499999999999</v>
      </c>
      <c r="O45" s="8">
        <f>Table112324[[#This Row],[M (KN.mm)]]/(Table112324[[#This Row],[b (mm)]]*Table112324[[#This Row],[h (mm)]]*Table112324[[#This Row],[L(mm)]])</f>
        <v>2.4759166666666666E-4</v>
      </c>
      <c r="P45" s="8">
        <f>Table112324[[#This Row],[M (KN.mm)]]/(Table112324[[#This Row],[b (mm)]]*Table112324[[#This Row],[d (mm)]]*Table112324[[#This Row],[L(mm)]])</f>
        <v>2.6766666666666665E-4</v>
      </c>
      <c r="Q45" s="8">
        <f>Table112324[[#This Row],[M (KN.mm)]]/(Table112324[[#This Row],[b (mm)]]*Table112324[[#This Row],[h (mm)]]*Table112324[[#This Row],[L(mm)]]*Table112324[[#This Row],[fc (Mpa)]])</f>
        <v>6.5155701754385969E-6</v>
      </c>
      <c r="R45" s="8">
        <f>Table112324[[#This Row],[M (KN.mm)]]/(Table112324[[#This Row],[b (mm)]]*Table112324[[#This Row],[h (mm)]]*Table112324[[#This Row],[L(mm)]]/2)</f>
        <v>4.9518333333333333E-4</v>
      </c>
      <c r="S45" s="8">
        <f>Table112324[[#This Row],[M (KN.mm)]]/(Table112324[[#This Row],[a (mm)]]*Table112324[[#This Row],[b (mm)]]*Table112324[[#This Row],[h (mm)]]*Table112324[[#This Row],[L(mm)]]/2)</f>
        <v>1.8333333333333333E-7</v>
      </c>
      <c r="T45" s="8">
        <f>G45/($AN$5*AK45*0.001*Table112324[[#This Row],[pho (%)]])</f>
        <v>4.8347920807946236E-7</v>
      </c>
      <c r="U45" s="8">
        <f>Table112324[[#This Row],[M (KN.mm)]]/(Table112324[[#This Row],[b (mm)]]*Table112324[[#This Row],[d (mm)]]*Table112324[[#This Row],[pho (%)]])</f>
        <v>1.1471428571428572</v>
      </c>
      <c r="V45" s="8">
        <f>E45*224.8/(2*SQRT(Table112324[[#This Row],[fc (Mpa)]]*145.037)*Table112324[[#This Row],[b (mm)]]*Table112324[[#This Row],[d (mm)]]*(1/25.4)^2)</f>
        <v>0.5807958424784061</v>
      </c>
      <c r="W45" s="8">
        <f>Table112324[[#This Row],[M (KN.mm)]]/$G$49</f>
        <v>0.67901234567901236</v>
      </c>
      <c r="X45" s="8">
        <f>E45*224.8/(2*SQRT(Table112324[[#This Row],[fc (Mpa)]]*145.037)*Table112324[[#This Row],[b (mm)]]*Table112324[[#This Row],[d (mm)]]*(1/25.4)^2+Table112324[[#This Row],[Av fy d/s (N)]]*0.2248)</f>
        <v>0.48867106075319294</v>
      </c>
      <c r="Y45" s="15">
        <v>0.193</v>
      </c>
      <c r="Z45" s="8">
        <f>Table112324[[#This Row],[Av fy/(b S) (Mpa)]]*Table112324[[#This Row],[d (mm)]]*Table112324[[#This Row],[b (mm)]]</f>
        <v>178525</v>
      </c>
      <c r="AA45" s="8">
        <f>Table112324[[#This Row],[d (mm)]]/375</f>
        <v>2.4666666666666668</v>
      </c>
      <c r="AB45" s="8">
        <f>Table112324[[#This Row],[a/d]]*Table112324[[#This Row],[d]]</f>
        <v>2701</v>
      </c>
      <c r="AC45" s="15">
        <v>925</v>
      </c>
      <c r="AD45" s="15">
        <v>1000</v>
      </c>
      <c r="AE45" s="15">
        <v>1000</v>
      </c>
      <c r="AF45" s="15">
        <v>38</v>
      </c>
      <c r="AG45" s="8">
        <f>Table112324[[#This Row],[pho (%)]]/100*Table112324[[#This Row],[b (mm)]]*Table112324[[#This Row],[d (mm)]]</f>
        <v>12949.999999999998</v>
      </c>
      <c r="AH45" s="15">
        <v>1.4</v>
      </c>
      <c r="AI45" s="8">
        <v>508</v>
      </c>
      <c r="AJ45" s="8">
        <f>(1/3-0.21*(MIN(Table112324[[#This Row],[b (mm)]],AD45)/MAX(Table112324[[#This Row],[b (mm)]],AD45))*(MIN(Table112324[[#This Row],[b (mm)]],AD45)^4/(12*MAX(Table112324[[#This Row],[b (mm)]],AD45)^4)))*MAX(Table112324[[#This Row],[b (mm)]],AD45)*MIN(Table112324[[#This Row],[b (mm)]],AD45)^3</f>
        <v>315833333333.33331</v>
      </c>
      <c r="AK45" s="8">
        <f>Table112324[[#This Row],[b (mm)]]*AD45^3/12</f>
        <v>83333333333.333328</v>
      </c>
      <c r="AL45" s="15">
        <v>6000</v>
      </c>
    </row>
    <row r="46" spans="1:38" s="1" customFormat="1" x14ac:dyDescent="0.25">
      <c r="A46" s="66" t="s">
        <v>126</v>
      </c>
      <c r="B46" s="15">
        <v>4</v>
      </c>
      <c r="C46" s="3">
        <v>45</v>
      </c>
      <c r="D46" s="15">
        <v>2.92</v>
      </c>
      <c r="E46" s="15">
        <v>700</v>
      </c>
      <c r="F46" s="15">
        <v>925</v>
      </c>
      <c r="G46" s="8">
        <f t="shared" si="19"/>
        <v>1890700</v>
      </c>
      <c r="H46" s="8">
        <f t="shared" si="20"/>
        <v>8.6147204348704198E-7</v>
      </c>
      <c r="I46" s="8">
        <f>G46/(Table112324[[#This Row],[b (mm)]]*AC46^2)</f>
        <v>2.2097297297297299E-3</v>
      </c>
      <c r="J46" s="8">
        <f t="shared" si="21"/>
        <v>0.31070440519259424</v>
      </c>
      <c r="K46" s="8">
        <f t="shared" si="22"/>
        <v>7.0584676402870452E-8</v>
      </c>
      <c r="L46" s="8">
        <f>E46/(Table112324[[#This Row],[b (mm)]]*AC46)</f>
        <v>7.5675675675675679E-4</v>
      </c>
      <c r="M46" s="8">
        <f>Table112324[[#This Row],[M (KN.mm)]]/(Table112324[[#This Row],[b (mm)]]*Table112324[[#This Row],[d (mm)]])</f>
        <v>2.044</v>
      </c>
      <c r="N46" s="8">
        <f>Table112324[[#This Row],[M (KN.mm)]]/(Table112324[[#This Row],[b (mm)]]*Table112324[[#This Row],[h (mm)]])</f>
        <v>1.8907</v>
      </c>
      <c r="O46" s="8">
        <f>Table112324[[#This Row],[M (KN.mm)]]/(Table112324[[#This Row],[b (mm)]]*Table112324[[#This Row],[h (mm)]]*Table112324[[#This Row],[L(mm)]])</f>
        <v>3.1511666666666669E-4</v>
      </c>
      <c r="P46" s="8">
        <f>Table112324[[#This Row],[M (KN.mm)]]/(Table112324[[#This Row],[b (mm)]]*Table112324[[#This Row],[d (mm)]]*Table112324[[#This Row],[L(mm)]])</f>
        <v>3.4066666666666669E-4</v>
      </c>
      <c r="Q46" s="8">
        <f>Table112324[[#This Row],[M (KN.mm)]]/(Table112324[[#This Row],[b (mm)]]*Table112324[[#This Row],[h (mm)]]*Table112324[[#This Row],[L(mm)]]*Table112324[[#This Row],[fc (Mpa)]])</f>
        <v>8.2925438596491235E-6</v>
      </c>
      <c r="R46" s="8">
        <f>Table112324[[#This Row],[M (KN.mm)]]/(Table112324[[#This Row],[b (mm)]]*Table112324[[#This Row],[h (mm)]]*Table112324[[#This Row],[L(mm)]]/2)</f>
        <v>6.3023333333333338E-4</v>
      </c>
      <c r="S46" s="8">
        <f>Table112324[[#This Row],[M (KN.mm)]]/(Table112324[[#This Row],[a (mm)]]*Table112324[[#This Row],[b (mm)]]*Table112324[[#This Row],[h (mm)]]*Table112324[[#This Row],[L(mm)]]/2)</f>
        <v>2.3333333333333333E-7</v>
      </c>
      <c r="T46" s="8">
        <f>G46/($AN$5*AK46*0.001*Table112324[[#This Row],[pho (%)]])</f>
        <v>6.1533717391931569E-7</v>
      </c>
      <c r="U46" s="8">
        <f>Table112324[[#This Row],[M (KN.mm)]]/(Table112324[[#This Row],[b (mm)]]*Table112324[[#This Row],[d (mm)]]*Table112324[[#This Row],[pho (%)]])</f>
        <v>1.46</v>
      </c>
      <c r="V46" s="8">
        <f>E46*224.8/(2*SQRT(Table112324[[#This Row],[fc (Mpa)]]*145.037)*Table112324[[#This Row],[b (mm)]]*Table112324[[#This Row],[d (mm)]]*(1/25.4)^2)</f>
        <v>0.73919470860888059</v>
      </c>
      <c r="W46" s="8">
        <f>Table112324[[#This Row],[M (KN.mm)]]/$G$49</f>
        <v>0.86419753086419748</v>
      </c>
      <c r="X46" s="8">
        <f>E46*224.8/(2*SQRT(Table112324[[#This Row],[fc (Mpa)]]*145.037)*Table112324[[#This Row],[b (mm)]]*Table112324[[#This Row],[d (mm)]]*(1/25.4)^2+Table112324[[#This Row],[Av fy d/s (N)]]*0.2248)</f>
        <v>0.62194498641315465</v>
      </c>
      <c r="Y46" s="15">
        <v>0.193</v>
      </c>
      <c r="Z46" s="8">
        <f>Table112324[[#This Row],[Av fy/(b S) (Mpa)]]*Table112324[[#This Row],[d (mm)]]*Table112324[[#This Row],[b (mm)]]</f>
        <v>178525</v>
      </c>
      <c r="AA46" s="8">
        <f>Table112324[[#This Row],[d (mm)]]/375</f>
        <v>2.4666666666666668</v>
      </c>
      <c r="AB46" s="8">
        <f>Table112324[[#This Row],[a/d]]*Table112324[[#This Row],[d]]</f>
        <v>2701</v>
      </c>
      <c r="AC46" s="15">
        <v>925</v>
      </c>
      <c r="AD46" s="15">
        <v>1000</v>
      </c>
      <c r="AE46" s="15">
        <v>1000</v>
      </c>
      <c r="AF46" s="15">
        <v>38</v>
      </c>
      <c r="AG46" s="8">
        <f>Table112324[[#This Row],[pho (%)]]/100*Table112324[[#This Row],[b (mm)]]*Table112324[[#This Row],[d (mm)]]</f>
        <v>12949.999999999998</v>
      </c>
      <c r="AH46" s="15">
        <v>1.4</v>
      </c>
      <c r="AI46" s="8">
        <v>508</v>
      </c>
      <c r="AJ46" s="8">
        <f>(1/3-0.21*(MIN(Table112324[[#This Row],[b (mm)]],AD46)/MAX(Table112324[[#This Row],[b (mm)]],AD46))*(MIN(Table112324[[#This Row],[b (mm)]],AD46)^4/(12*MAX(Table112324[[#This Row],[b (mm)]],AD46)^4)))*MAX(Table112324[[#This Row],[b (mm)]],AD46)*MIN(Table112324[[#This Row],[b (mm)]],AD46)^3</f>
        <v>315833333333.33331</v>
      </c>
      <c r="AK46" s="8">
        <f>Table112324[[#This Row],[b (mm)]]*AD46^3/12</f>
        <v>83333333333.333328</v>
      </c>
      <c r="AL46" s="15">
        <v>6000</v>
      </c>
    </row>
    <row r="47" spans="1:38" s="1" customFormat="1" x14ac:dyDescent="0.25">
      <c r="A47" s="66" t="s">
        <v>126</v>
      </c>
      <c r="B47" s="15">
        <v>5</v>
      </c>
      <c r="C47" s="3">
        <v>46</v>
      </c>
      <c r="D47" s="15">
        <v>2.92</v>
      </c>
      <c r="E47" s="15">
        <v>770</v>
      </c>
      <c r="F47" s="15">
        <v>925</v>
      </c>
      <c r="G47" s="8">
        <f t="shared" si="19"/>
        <v>2079770</v>
      </c>
      <c r="H47" s="8">
        <f t="shared" si="20"/>
        <v>9.4761924783574611E-7</v>
      </c>
      <c r="I47" s="8">
        <f>G47/(Table112324[[#This Row],[b (mm)]]*AC47^2)</f>
        <v>2.4307027027027027E-3</v>
      </c>
      <c r="J47" s="8">
        <f t="shared" si="21"/>
        <v>0.34177484571185363</v>
      </c>
      <c r="K47" s="8">
        <f t="shared" si="22"/>
        <v>7.7643144043157489E-8</v>
      </c>
      <c r="L47" s="8">
        <f>E47/(Table112324[[#This Row],[b (mm)]]*AC47)</f>
        <v>8.3243243243243245E-4</v>
      </c>
      <c r="M47" s="8">
        <f>Table112324[[#This Row],[M (KN.mm)]]/(Table112324[[#This Row],[b (mm)]]*Table112324[[#This Row],[d (mm)]])</f>
        <v>2.2484000000000002</v>
      </c>
      <c r="N47" s="8">
        <f>Table112324[[#This Row],[M (KN.mm)]]/(Table112324[[#This Row],[b (mm)]]*Table112324[[#This Row],[h (mm)]])</f>
        <v>2.0797699999999999</v>
      </c>
      <c r="O47" s="8">
        <f>Table112324[[#This Row],[M (KN.mm)]]/(Table112324[[#This Row],[b (mm)]]*Table112324[[#This Row],[h (mm)]]*Table112324[[#This Row],[L(mm)]])</f>
        <v>3.4662833333333335E-4</v>
      </c>
      <c r="P47" s="8">
        <f>Table112324[[#This Row],[M (KN.mm)]]/(Table112324[[#This Row],[b (mm)]]*Table112324[[#This Row],[d (mm)]]*Table112324[[#This Row],[L(mm)]])</f>
        <v>3.7473333333333335E-4</v>
      </c>
      <c r="Q47" s="8">
        <f>Table112324[[#This Row],[M (KN.mm)]]/(Table112324[[#This Row],[b (mm)]]*Table112324[[#This Row],[h (mm)]]*Table112324[[#This Row],[L(mm)]]*Table112324[[#This Row],[fc (Mpa)]])</f>
        <v>9.1217982456140345E-6</v>
      </c>
      <c r="R47" s="8">
        <f>Table112324[[#This Row],[M (KN.mm)]]/(Table112324[[#This Row],[b (mm)]]*Table112324[[#This Row],[h (mm)]]*Table112324[[#This Row],[L(mm)]]/2)</f>
        <v>6.932566666666667E-4</v>
      </c>
      <c r="S47" s="8">
        <f>Table112324[[#This Row],[M (KN.mm)]]/(Table112324[[#This Row],[a (mm)]]*Table112324[[#This Row],[b (mm)]]*Table112324[[#This Row],[h (mm)]]*Table112324[[#This Row],[L(mm)]]/2)</f>
        <v>2.5666666666666666E-7</v>
      </c>
      <c r="T47" s="8">
        <f>G47/($AN$5*AK47*0.001*Table112324[[#This Row],[pho (%)]])</f>
        <v>6.7687089131124723E-7</v>
      </c>
      <c r="U47" s="8">
        <f>Table112324[[#This Row],[M (KN.mm)]]/(Table112324[[#This Row],[b (mm)]]*Table112324[[#This Row],[d (mm)]]*Table112324[[#This Row],[pho (%)]])</f>
        <v>1.6060000000000001</v>
      </c>
      <c r="V47" s="8">
        <f>E47*224.8/(2*SQRT(Table112324[[#This Row],[fc (Mpa)]]*145.037)*Table112324[[#This Row],[b (mm)]]*Table112324[[#This Row],[d (mm)]]*(1/25.4)^2)</f>
        <v>0.81311417946976861</v>
      </c>
      <c r="W47" s="8">
        <f>Table112324[[#This Row],[M (KN.mm)]]/$G$49</f>
        <v>0.95061728395061729</v>
      </c>
      <c r="X47" s="8">
        <f>E47*224.8/(2*SQRT(Table112324[[#This Row],[fc (Mpa)]]*145.037)*Table112324[[#This Row],[b (mm)]]*Table112324[[#This Row],[d (mm)]]*(1/25.4)^2+Table112324[[#This Row],[Av fy d/s (N)]]*0.2248)</f>
        <v>0.68413948505447009</v>
      </c>
      <c r="Y47" s="15">
        <v>0.193</v>
      </c>
      <c r="Z47" s="8">
        <f>Table112324[[#This Row],[Av fy/(b S) (Mpa)]]*Table112324[[#This Row],[d (mm)]]*Table112324[[#This Row],[b (mm)]]</f>
        <v>178525</v>
      </c>
      <c r="AA47" s="8">
        <f>Table112324[[#This Row],[d (mm)]]/375</f>
        <v>2.4666666666666668</v>
      </c>
      <c r="AB47" s="8">
        <f>Table112324[[#This Row],[a/d]]*Table112324[[#This Row],[d]]</f>
        <v>2701</v>
      </c>
      <c r="AC47" s="15">
        <v>925</v>
      </c>
      <c r="AD47" s="15">
        <v>1000</v>
      </c>
      <c r="AE47" s="15">
        <v>1000</v>
      </c>
      <c r="AF47" s="15">
        <v>38</v>
      </c>
      <c r="AG47" s="8">
        <f>Table112324[[#This Row],[pho (%)]]/100*Table112324[[#This Row],[b (mm)]]*Table112324[[#This Row],[d (mm)]]</f>
        <v>12949.999999999998</v>
      </c>
      <c r="AH47" s="15">
        <v>1.4</v>
      </c>
      <c r="AI47" s="8">
        <v>508</v>
      </c>
      <c r="AJ47" s="8">
        <f>(1/3-0.21*(MIN(Table112324[[#This Row],[b (mm)]],AD47)/MAX(Table112324[[#This Row],[b (mm)]],AD47))*(MIN(Table112324[[#This Row],[b (mm)]],AD47)^4/(12*MAX(Table112324[[#This Row],[b (mm)]],AD47)^4)))*MAX(Table112324[[#This Row],[b (mm)]],AD47)*MIN(Table112324[[#This Row],[b (mm)]],AD47)^3</f>
        <v>315833333333.33331</v>
      </c>
      <c r="AK47" s="8">
        <f>Table112324[[#This Row],[b (mm)]]*AD47^3/12</f>
        <v>83333333333.333328</v>
      </c>
      <c r="AL47" s="15">
        <v>6000</v>
      </c>
    </row>
    <row r="48" spans="1:38" s="1" customFormat="1" x14ac:dyDescent="0.25">
      <c r="A48" s="66" t="s">
        <v>126</v>
      </c>
      <c r="B48" s="15">
        <v>6</v>
      </c>
      <c r="C48" s="3">
        <v>47</v>
      </c>
      <c r="D48" s="15">
        <v>2.92</v>
      </c>
      <c r="E48" s="15">
        <v>786</v>
      </c>
      <c r="F48" s="15">
        <v>925</v>
      </c>
      <c r="G48" s="8">
        <f t="shared" si="19"/>
        <v>2122986</v>
      </c>
      <c r="H48" s="8">
        <f t="shared" si="20"/>
        <v>9.6731003740116425E-7</v>
      </c>
      <c r="I48" s="8">
        <f>G48/(Table112324[[#This Row],[b (mm)]]*AC48^2)</f>
        <v>2.4812108108108106E-3</v>
      </c>
      <c r="J48" s="8">
        <f t="shared" si="21"/>
        <v>0.34887666068768436</v>
      </c>
      <c r="K48" s="8">
        <f t="shared" si="22"/>
        <v>7.9256508075223098E-8</v>
      </c>
      <c r="L48" s="8">
        <f>E48/(Table112324[[#This Row],[b (mm)]]*AC48)</f>
        <v>8.4972972972972968E-4</v>
      </c>
      <c r="M48" s="8">
        <f>Table112324[[#This Row],[M (KN.mm)]]/(Table112324[[#This Row],[b (mm)]]*Table112324[[#This Row],[d (mm)]])</f>
        <v>2.2951199999999998</v>
      </c>
      <c r="N48" s="8">
        <f>Table112324[[#This Row],[M (KN.mm)]]/(Table112324[[#This Row],[b (mm)]]*Table112324[[#This Row],[h (mm)]])</f>
        <v>2.122986</v>
      </c>
      <c r="O48" s="8">
        <f>Table112324[[#This Row],[M (KN.mm)]]/(Table112324[[#This Row],[b (mm)]]*Table112324[[#This Row],[h (mm)]]*Table112324[[#This Row],[L(mm)]])</f>
        <v>3.5383099999999998E-4</v>
      </c>
      <c r="P48" s="8">
        <f>Table112324[[#This Row],[M (KN.mm)]]/(Table112324[[#This Row],[b (mm)]]*Table112324[[#This Row],[d (mm)]]*Table112324[[#This Row],[L(mm)]])</f>
        <v>3.8252000000000002E-4</v>
      </c>
      <c r="Q48" s="8">
        <f>Table112324[[#This Row],[M (KN.mm)]]/(Table112324[[#This Row],[b (mm)]]*Table112324[[#This Row],[h (mm)]]*Table112324[[#This Row],[L(mm)]]*Table112324[[#This Row],[fc (Mpa)]])</f>
        <v>9.3113421052631577E-6</v>
      </c>
      <c r="R48" s="8">
        <f>Table112324[[#This Row],[M (KN.mm)]]/(Table112324[[#This Row],[b (mm)]]*Table112324[[#This Row],[h (mm)]]*Table112324[[#This Row],[L(mm)]]/2)</f>
        <v>7.0766199999999996E-4</v>
      </c>
      <c r="S48" s="8">
        <f>Table112324[[#This Row],[M (KN.mm)]]/(Table112324[[#This Row],[a (mm)]]*Table112324[[#This Row],[b (mm)]]*Table112324[[#This Row],[h (mm)]]*Table112324[[#This Row],[L(mm)]]/2)</f>
        <v>2.6199999999999999E-7</v>
      </c>
      <c r="T48" s="8">
        <f>G48/($AN$5*AK48*0.001*Table112324[[#This Row],[pho (%)]])</f>
        <v>6.9093574100083155E-7</v>
      </c>
      <c r="U48" s="8">
        <f>Table112324[[#This Row],[M (KN.mm)]]/(Table112324[[#This Row],[b (mm)]]*Table112324[[#This Row],[d (mm)]]*Table112324[[#This Row],[pho (%)]])</f>
        <v>1.6393714285714285</v>
      </c>
      <c r="V48" s="8">
        <f>E48*224.8/(2*SQRT(Table112324[[#This Row],[fc (Mpa)]]*145.037)*Table112324[[#This Row],[b (mm)]]*Table112324[[#This Row],[d (mm)]]*(1/25.4)^2)</f>
        <v>0.83001005852368592</v>
      </c>
      <c r="W48" s="8">
        <f>Table112324[[#This Row],[M (KN.mm)]]/$G$49</f>
        <v>0.97037037037037033</v>
      </c>
      <c r="X48" s="8">
        <f>E48*224.8/(2*SQRT(Table112324[[#This Row],[fc (Mpa)]]*145.037)*Table112324[[#This Row],[b (mm)]]*Table112324[[#This Row],[d (mm)]]*(1/25.4)^2+Table112324[[#This Row],[Av fy d/s (N)]]*0.2248)</f>
        <v>0.6983553704581994</v>
      </c>
      <c r="Y48" s="15">
        <v>0.193</v>
      </c>
      <c r="Z48" s="8">
        <f>Table112324[[#This Row],[Av fy/(b S) (Mpa)]]*Table112324[[#This Row],[d (mm)]]*Table112324[[#This Row],[b (mm)]]</f>
        <v>178525</v>
      </c>
      <c r="AA48" s="8">
        <f>Table112324[[#This Row],[d (mm)]]/375</f>
        <v>2.4666666666666668</v>
      </c>
      <c r="AB48" s="8">
        <f>Table112324[[#This Row],[a/d]]*Table112324[[#This Row],[d]]</f>
        <v>2701</v>
      </c>
      <c r="AC48" s="15">
        <v>925</v>
      </c>
      <c r="AD48" s="15">
        <v>1000</v>
      </c>
      <c r="AE48" s="15">
        <v>1000</v>
      </c>
      <c r="AF48" s="15">
        <v>38</v>
      </c>
      <c r="AG48" s="8">
        <f>Table112324[[#This Row],[pho (%)]]/100*Table112324[[#This Row],[b (mm)]]*Table112324[[#This Row],[d (mm)]]</f>
        <v>12949.999999999998</v>
      </c>
      <c r="AH48" s="15">
        <v>1.4</v>
      </c>
      <c r="AI48" s="8">
        <v>508</v>
      </c>
      <c r="AJ48" s="8">
        <f>(1/3-0.21*(MIN(Table112324[[#This Row],[b (mm)]],AD48)/MAX(Table112324[[#This Row],[b (mm)]],AD48))*(MIN(Table112324[[#This Row],[b (mm)]],AD48)^4/(12*MAX(Table112324[[#This Row],[b (mm)]],AD48)^4)))*MAX(Table112324[[#This Row],[b (mm)]],AD48)*MIN(Table112324[[#This Row],[b (mm)]],AD48)^3</f>
        <v>315833333333.33331</v>
      </c>
      <c r="AK48" s="8">
        <f>Table112324[[#This Row],[b (mm)]]*AD48^3/12</f>
        <v>83333333333.333328</v>
      </c>
      <c r="AL48" s="15">
        <v>6000</v>
      </c>
    </row>
    <row r="49" spans="1:43" x14ac:dyDescent="0.25">
      <c r="A49" s="66" t="s">
        <v>126</v>
      </c>
      <c r="B49" s="15">
        <v>7</v>
      </c>
      <c r="C49" s="3">
        <v>48</v>
      </c>
      <c r="D49" s="15">
        <v>2.92</v>
      </c>
      <c r="E49" s="15">
        <v>810</v>
      </c>
      <c r="F49" s="15">
        <v>925</v>
      </c>
      <c r="G49" s="8">
        <f t="shared" si="19"/>
        <v>2187810</v>
      </c>
      <c r="H49" s="8">
        <f t="shared" si="20"/>
        <v>9.9684622174929147E-7</v>
      </c>
      <c r="I49" s="8">
        <f>G49/(Table112324[[#This Row],[b (mm)]]*AC49^2)</f>
        <v>2.5569729729729728E-3</v>
      </c>
      <c r="J49" s="8">
        <f t="shared" si="21"/>
        <v>0.35952938315143046</v>
      </c>
      <c r="K49" s="8">
        <f t="shared" si="22"/>
        <v>8.1676554123321519E-8</v>
      </c>
      <c r="L49" s="8">
        <f>E49/(Table112324[[#This Row],[b (mm)]]*AC49)</f>
        <v>8.756756756756757E-4</v>
      </c>
      <c r="M49" s="8">
        <f>Table112324[[#This Row],[M (KN.mm)]]/(Table112324[[#This Row],[b (mm)]]*Table112324[[#This Row],[d (mm)]])</f>
        <v>2.3652000000000002</v>
      </c>
      <c r="N49" s="8">
        <f>Table112324[[#This Row],[M (KN.mm)]]/(Table112324[[#This Row],[b (mm)]]*Table112324[[#This Row],[h (mm)]])</f>
        <v>2.1878099999999998</v>
      </c>
      <c r="O49" s="8">
        <f>Table112324[[#This Row],[M (KN.mm)]]/(Table112324[[#This Row],[b (mm)]]*Table112324[[#This Row],[h (mm)]]*Table112324[[#This Row],[L(mm)]])</f>
        <v>3.6463499999999998E-4</v>
      </c>
      <c r="P49" s="8">
        <f>Table112324[[#This Row],[M (KN.mm)]]/(Table112324[[#This Row],[b (mm)]]*Table112324[[#This Row],[d (mm)]]*Table112324[[#This Row],[L(mm)]])</f>
        <v>3.9419999999999999E-4</v>
      </c>
      <c r="Q49" s="8">
        <f>Table112324[[#This Row],[M (KN.mm)]]/(Table112324[[#This Row],[b (mm)]]*Table112324[[#This Row],[h (mm)]]*Table112324[[#This Row],[L(mm)]]*Table112324[[#This Row],[fc (Mpa)]])</f>
        <v>9.5956578947368427E-6</v>
      </c>
      <c r="R49" s="8">
        <f>Table112324[[#This Row],[M (KN.mm)]]/(Table112324[[#This Row],[b (mm)]]*Table112324[[#This Row],[h (mm)]]*Table112324[[#This Row],[L(mm)]]/2)</f>
        <v>7.2926999999999996E-4</v>
      </c>
      <c r="S49" s="8">
        <f>Table112324[[#This Row],[M (KN.mm)]]/(Table112324[[#This Row],[a (mm)]]*Table112324[[#This Row],[b (mm)]]*Table112324[[#This Row],[h (mm)]]*Table112324[[#This Row],[L(mm)]]/2)</f>
        <v>2.7000000000000001E-7</v>
      </c>
      <c r="T49" s="8">
        <f>G49/($AN$5*AK49*0.001*Table112324[[#This Row],[pho (%)]])</f>
        <v>7.1203301553520807E-7</v>
      </c>
      <c r="U49" s="8">
        <f>Table112324[[#This Row],[M (KN.mm)]]/(Table112324[[#This Row],[b (mm)]]*Table112324[[#This Row],[d (mm)]]*Table112324[[#This Row],[pho (%)]])</f>
        <v>1.6894285714285715</v>
      </c>
      <c r="V49" s="8">
        <f>E49*224.8/(2*SQRT(Table112324[[#This Row],[fc (Mpa)]]*145.037)*Table112324[[#This Row],[b (mm)]]*Table112324[[#This Row],[d (mm)]]*(1/25.4)^2)</f>
        <v>0.85535387710456179</v>
      </c>
      <c r="W49" s="8">
        <f>Table112324[[#This Row],[M (KN.mm)]]/$G$49</f>
        <v>1</v>
      </c>
      <c r="X49" s="8">
        <f>E49*224.8/(2*SQRT(Table112324[[#This Row],[fc (Mpa)]]*145.037)*Table112324[[#This Row],[b (mm)]]*Table112324[[#This Row],[d (mm)]]*(1/25.4)^2+Table112324[[#This Row],[Av fy d/s (N)]]*0.2248)</f>
        <v>0.71967919856379325</v>
      </c>
      <c r="Y49" s="15">
        <v>0.193</v>
      </c>
      <c r="Z49" s="8">
        <f>Table112324[[#This Row],[Av fy/(b S) (Mpa)]]*Table112324[[#This Row],[d (mm)]]*Table112324[[#This Row],[b (mm)]]</f>
        <v>178525</v>
      </c>
      <c r="AA49" s="8">
        <f>Table112324[[#This Row],[d (mm)]]/375</f>
        <v>2.4666666666666668</v>
      </c>
      <c r="AB49" s="8">
        <f>Table112324[[#This Row],[a/d]]*Table112324[[#This Row],[d]]</f>
        <v>2701</v>
      </c>
      <c r="AC49" s="15">
        <v>925</v>
      </c>
      <c r="AD49" s="15">
        <v>1000</v>
      </c>
      <c r="AE49" s="15">
        <v>1000</v>
      </c>
      <c r="AF49" s="15">
        <v>38</v>
      </c>
      <c r="AG49" s="8">
        <f>Table112324[[#This Row],[pho (%)]]/100*Table112324[[#This Row],[b (mm)]]*Table112324[[#This Row],[d (mm)]]</f>
        <v>12949.999999999998</v>
      </c>
      <c r="AH49" s="15">
        <v>1.4</v>
      </c>
      <c r="AI49" s="8">
        <v>508</v>
      </c>
      <c r="AJ49" s="8">
        <f>(1/3-0.21*(MIN(Table112324[[#This Row],[b (mm)]],AD49)/MAX(Table112324[[#This Row],[b (mm)]],AD49))*(MIN(Table112324[[#This Row],[b (mm)]],AD49)^4/(12*MAX(Table112324[[#This Row],[b (mm)]],AD49)^4)))*MAX(Table112324[[#This Row],[b (mm)]],AD49)*MIN(Table112324[[#This Row],[b (mm)]],AD49)^3</f>
        <v>315833333333.33331</v>
      </c>
      <c r="AK49" s="8">
        <f>Table112324[[#This Row],[b (mm)]]*AD49^3/12</f>
        <v>83333333333.333328</v>
      </c>
      <c r="AL49" s="15">
        <v>6000</v>
      </c>
      <c r="AM49" s="1"/>
      <c r="AN49" s="1"/>
    </row>
    <row r="50" spans="1:4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1"/>
      <c r="AN50" s="1"/>
    </row>
    <row r="51" spans="1:4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1"/>
      <c r="AN51" s="1"/>
    </row>
    <row r="52" spans="1:4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1"/>
      <c r="AN52" s="1"/>
    </row>
    <row r="53" spans="1:4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1"/>
      <c r="AN53" s="1"/>
    </row>
    <row r="54" spans="1:4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1"/>
      <c r="AN54" s="1"/>
    </row>
    <row r="55" spans="1:4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1"/>
      <c r="AN55" s="1"/>
    </row>
    <row r="56" spans="1:4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1"/>
      <c r="AN56" s="1"/>
    </row>
    <row r="57" spans="1:4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1"/>
      <c r="AN57" s="1"/>
    </row>
    <row r="58" spans="1:4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1"/>
      <c r="AN58" s="1"/>
    </row>
    <row r="59" spans="1:4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1"/>
      <c r="AN59" s="1"/>
    </row>
    <row r="60" spans="1:4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1"/>
      <c r="AN60" s="1"/>
    </row>
    <row r="61" spans="1:4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1"/>
      <c r="AN61" s="1"/>
    </row>
    <row r="62" spans="1:4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1"/>
      <c r="AN62" s="1"/>
    </row>
    <row r="63" spans="1:4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1"/>
      <c r="AN63" s="1"/>
      <c r="AQ63" s="1"/>
    </row>
    <row r="64" spans="1:4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1"/>
      <c r="AN64" s="1"/>
      <c r="AQ64" s="1"/>
    </row>
    <row r="65" spans="1:4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"/>
      <c r="AN65" s="1"/>
      <c r="AQ65" s="1"/>
    </row>
    <row r="66" spans="1:4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 s="1"/>
      <c r="AN66" s="1"/>
    </row>
    <row r="67" spans="1:4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1"/>
      <c r="AN67" s="1"/>
    </row>
    <row r="68" spans="1:4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1"/>
      <c r="AN68" s="1"/>
    </row>
    <row r="69" spans="1:4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1"/>
      <c r="AN69" s="1"/>
    </row>
    <row r="70" spans="1:4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1"/>
      <c r="AN70" s="1"/>
    </row>
    <row r="71" spans="1:4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14"/>
      <c r="AN71" s="22"/>
      <c r="AO71" s="13"/>
      <c r="AP71" s="13"/>
    </row>
    <row r="72" spans="1:4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14"/>
      <c r="AN72" s="22"/>
      <c r="AO72" s="13"/>
      <c r="AP72" s="13"/>
    </row>
    <row r="73" spans="1:4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14"/>
      <c r="AN73" s="22"/>
      <c r="AO73" s="13"/>
      <c r="AP73" s="13"/>
    </row>
    <row r="74" spans="1:4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14"/>
      <c r="AN74" s="22"/>
      <c r="AO74" s="13"/>
      <c r="AP74" s="13"/>
    </row>
    <row r="75" spans="1:4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14"/>
      <c r="AN75" s="22"/>
      <c r="AO75" s="13"/>
      <c r="AP75" s="13"/>
    </row>
    <row r="76" spans="1:4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14"/>
      <c r="AN76" s="22"/>
      <c r="AO76" s="13"/>
      <c r="AP76" s="13"/>
    </row>
    <row r="77" spans="1:4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14"/>
      <c r="AN77" s="22"/>
      <c r="AO77" s="13"/>
      <c r="AP77" s="13"/>
    </row>
    <row r="78" spans="1:4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14"/>
      <c r="AN78" s="22"/>
      <c r="AO78" s="13"/>
      <c r="AP78" s="13"/>
    </row>
    <row r="79" spans="1:4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14"/>
      <c r="AN79" s="22"/>
      <c r="AO79" s="13"/>
      <c r="AP79" s="13"/>
    </row>
    <row r="80" spans="1:4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14"/>
      <c r="AN80" s="22"/>
      <c r="AO80" s="13"/>
      <c r="AP80" s="13"/>
    </row>
    <row r="81" spans="1:4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14"/>
      <c r="AN81" s="22"/>
      <c r="AO81" s="13"/>
      <c r="AP81" s="13"/>
    </row>
    <row r="82" spans="1:4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12"/>
      <c r="AN82" s="6"/>
    </row>
    <row r="83" spans="1:4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 s="12"/>
      <c r="AN83" s="6"/>
    </row>
    <row r="84" spans="1:4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 s="14"/>
      <c r="AN84" s="22"/>
      <c r="AO84" s="13"/>
      <c r="AP84" s="13"/>
    </row>
    <row r="85" spans="1:4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 s="14"/>
      <c r="AN85" s="22"/>
      <c r="AO85" s="13"/>
      <c r="AP85" s="13"/>
    </row>
    <row r="86" spans="1:4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 s="14"/>
      <c r="AN86" s="22"/>
      <c r="AO86" s="13"/>
      <c r="AP86" s="13"/>
    </row>
    <row r="87" spans="1:4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 s="14"/>
      <c r="AN87" s="22"/>
      <c r="AO87" s="13"/>
      <c r="AP87" s="13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Q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46"/>
  <sheetViews>
    <sheetView zoomScaleNormal="100" workbookViewId="0">
      <selection activeCell="T8" sqref="T8"/>
    </sheetView>
  </sheetViews>
  <sheetFormatPr defaultRowHeight="15" x14ac:dyDescent="0.25"/>
  <cols>
    <col min="1" max="1" width="10.7109375" style="2" customWidth="1"/>
    <col min="2" max="2" width="7" style="2" customWidth="1"/>
    <col min="3" max="3" width="7.42578125" style="2" customWidth="1"/>
    <col min="4" max="4" width="15" style="2" customWidth="1"/>
    <col min="5" max="5" width="10.85546875" style="2" customWidth="1"/>
    <col min="6" max="6" width="12.85546875" style="2" customWidth="1"/>
    <col min="7" max="7" width="12" style="2" customWidth="1"/>
    <col min="8" max="8" width="10.5703125" style="2" customWidth="1"/>
    <col min="9" max="9" width="10.85546875" style="2" customWidth="1"/>
    <col min="10" max="10" width="13.140625" style="2" customWidth="1"/>
    <col min="11" max="11" width="8.85546875" style="2" customWidth="1"/>
    <col min="12" max="12" width="8.42578125" style="2" customWidth="1"/>
    <col min="13" max="17" width="10" style="2" customWidth="1"/>
    <col min="18" max="21" width="14.7109375" style="2" customWidth="1"/>
    <col min="22" max="22" width="17.42578125" style="2" customWidth="1"/>
    <col min="23" max="23" width="17.85546875" style="2" customWidth="1"/>
    <col min="24" max="24" width="17.140625" style="2" customWidth="1"/>
    <col min="25" max="27" width="17.85546875" style="2" customWidth="1"/>
    <col min="28" max="28" width="9.42578125" style="2" customWidth="1"/>
    <col min="29" max="30" width="9.5703125" style="2" customWidth="1"/>
    <col min="31" max="31" width="10.7109375" style="2" customWidth="1"/>
    <col min="32" max="32" width="9.85546875" style="2" customWidth="1"/>
    <col min="33" max="33" width="12.5703125" style="2" customWidth="1"/>
    <col min="34" max="34" width="11.7109375" style="2" customWidth="1"/>
    <col min="35" max="35" width="11" style="2" customWidth="1"/>
    <col min="36" max="36" width="12.42578125" style="2" customWidth="1"/>
    <col min="37" max="38" width="14.28515625" style="2" customWidth="1"/>
    <col min="39" max="39" width="15.28515625" style="2" customWidth="1"/>
    <col min="40" max="40" width="15.7109375" style="2" customWidth="1"/>
    <col min="41" max="42" width="9.140625" style="1"/>
    <col min="43" max="16384" width="9.140625" style="2"/>
  </cols>
  <sheetData>
    <row r="1" spans="1:42" ht="80.25" customHeight="1" x14ac:dyDescent="0.25">
      <c r="A1" s="4" t="s">
        <v>25</v>
      </c>
      <c r="B1" s="4" t="s">
        <v>23</v>
      </c>
      <c r="C1" s="4" t="s">
        <v>24</v>
      </c>
      <c r="D1" s="4" t="s">
        <v>40</v>
      </c>
      <c r="E1" s="3" t="s">
        <v>19</v>
      </c>
      <c r="F1" s="4" t="s">
        <v>26</v>
      </c>
      <c r="G1" s="3" t="s">
        <v>18</v>
      </c>
      <c r="H1" s="3" t="s">
        <v>0</v>
      </c>
      <c r="I1" s="3" t="s">
        <v>9</v>
      </c>
      <c r="J1" s="3" t="s">
        <v>10</v>
      </c>
      <c r="K1" s="3" t="s">
        <v>16</v>
      </c>
      <c r="L1" s="3" t="s">
        <v>15</v>
      </c>
      <c r="M1" s="3" t="s">
        <v>21</v>
      </c>
      <c r="N1" s="3" t="s">
        <v>22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158</v>
      </c>
      <c r="U1" s="3" t="s">
        <v>38</v>
      </c>
      <c r="V1" s="3" t="s">
        <v>44</v>
      </c>
      <c r="W1" s="3" t="s">
        <v>39</v>
      </c>
      <c r="X1" s="26" t="s">
        <v>111</v>
      </c>
      <c r="Y1" s="26" t="s">
        <v>108</v>
      </c>
      <c r="Z1" s="26" t="s">
        <v>110</v>
      </c>
      <c r="AA1" s="55" t="s">
        <v>109</v>
      </c>
      <c r="AB1" s="3" t="s">
        <v>1</v>
      </c>
      <c r="AC1" s="3" t="s">
        <v>5</v>
      </c>
      <c r="AD1" s="3" t="s">
        <v>8</v>
      </c>
      <c r="AE1" s="3" t="s">
        <v>28</v>
      </c>
      <c r="AF1" s="3" t="s">
        <v>29</v>
      </c>
      <c r="AG1" s="3" t="s">
        <v>6</v>
      </c>
      <c r="AH1" s="3" t="s">
        <v>7</v>
      </c>
      <c r="AI1" s="3" t="s">
        <v>14</v>
      </c>
      <c r="AJ1" s="3" t="s">
        <v>11</v>
      </c>
      <c r="AK1" s="3" t="s">
        <v>13</v>
      </c>
      <c r="AL1" s="3" t="s">
        <v>30</v>
      </c>
      <c r="AM1" s="1" t="s">
        <v>20</v>
      </c>
      <c r="AN1" s="1" t="s">
        <v>27</v>
      </c>
      <c r="AO1" s="1" t="s">
        <v>32</v>
      </c>
      <c r="AP1" s="1" t="s">
        <v>37</v>
      </c>
    </row>
    <row r="2" spans="1:42" x14ac:dyDescent="0.25">
      <c r="A2" s="27" t="s">
        <v>127</v>
      </c>
      <c r="B2" s="27">
        <v>1</v>
      </c>
      <c r="C2" s="3">
        <v>1</v>
      </c>
      <c r="D2" s="64">
        <f>2700/Table1123245[[#This Row],[d]]</f>
        <v>2.9189189189189189</v>
      </c>
      <c r="E2" s="3">
        <v>74</v>
      </c>
      <c r="F2" s="3">
        <v>925</v>
      </c>
      <c r="G2" s="8">
        <f t="shared" ref="G2:G7" si="0">E2*AB2</f>
        <v>199800</v>
      </c>
      <c r="H2" s="8">
        <f t="shared" ref="H2:H7" si="1">G2/($AN$5*AK2*0.001)</f>
        <v>3.0345394878212826E-7</v>
      </c>
      <c r="I2" s="8">
        <f>G2/(Table1123245[[#This Row],[b (mm)]]*AC2^2)</f>
        <v>7.7837837837837836E-4</v>
      </c>
      <c r="J2" s="8">
        <f t="shared" ref="J2:J7" si="2">G2/(AG2*AI2*AC2*0.001)</f>
        <v>0.15170702003164777</v>
      </c>
      <c r="K2" s="8">
        <f t="shared" ref="K2:K7" si="3">E2/($AN$4*AJ2*0.001)</f>
        <v>2.6188762121207299E-7</v>
      </c>
      <c r="L2" s="8">
        <f>E2/(Table1123245[[#This Row],[b (mm)]]*AC2)</f>
        <v>2.6666666666666668E-4</v>
      </c>
      <c r="M2" s="8">
        <f>Table1123245[[#This Row],[M (KN.mm)]]/(Table1123245[[#This Row],[b (mm)]]*Table1123245[[#This Row],[d (mm)]])</f>
        <v>0.72</v>
      </c>
      <c r="N2" s="8">
        <f>Table1123245[[#This Row],[M (KN.mm)]]/(Table1123245[[#This Row],[b (mm)]]*Table1123245[[#This Row],[h (mm)]])</f>
        <v>0.66600000000000004</v>
      </c>
      <c r="O2" s="8">
        <f>Table1123245[[#This Row],[M (KN.mm)]]/(Table1123245[[#This Row],[b (mm)]]*Table1123245[[#This Row],[h (mm)]]*Table1123245[[#This Row],[L(mm)]])</f>
        <v>1.11E-4</v>
      </c>
      <c r="P2" s="8">
        <f>Table1123245[[#This Row],[M (KN.mm)]]/(Table1123245[[#This Row],[b (mm)]]*Table1123245[[#This Row],[d (mm)]]*Table1123245[[#This Row],[L(mm)]])</f>
        <v>1.2E-4</v>
      </c>
      <c r="Q2" s="8">
        <f>Table1123245[[#This Row],[M (KN.mm)]]/(Table1123245[[#This Row],[b (mm)]]*Table1123245[[#This Row],[h (mm)]]*Table1123245[[#This Row],[L(mm)]]*Table1123245[[#This Row],[fc (Mpa)]])</f>
        <v>5.285714285714286E-6</v>
      </c>
      <c r="R2" s="8">
        <f>Table1123245[[#This Row],[M (KN.mm)]]/(Table1123245[[#This Row],[b (mm)]]*Table1123245[[#This Row],[h (mm)]]*Table1123245[[#This Row],[L(mm)]]/2)</f>
        <v>2.22E-4</v>
      </c>
      <c r="S2" s="8">
        <f>Table1123245[[#This Row],[M (KN.mm)]]/(Table1123245[[#This Row],[a (mm)]]*Table1123245[[#This Row],[b (mm)]]*Table1123245[[#This Row],[h (mm)]]*Table1123245[[#This Row],[L(mm)]]/2)</f>
        <v>8.2222222222222222E-8</v>
      </c>
      <c r="T2" s="8">
        <f>G2/($AN$5*AK2*0.001*Table1123245[[#This Row],[pho (%)]])</f>
        <v>3.0044945423973097E-7</v>
      </c>
      <c r="U2" s="8">
        <f>Table1123245[[#This Row],[M (KN.mm)]]/(Table1123245[[#This Row],[b (mm)]]*Table1123245[[#This Row],[d (mm)]]*Table1123245[[#This Row],[pho (%)]])</f>
        <v>0.71287128712871284</v>
      </c>
      <c r="V2" s="8">
        <f>E2*224.8/(2*SQRT(Table1123245[[#This Row],[fc (Mpa)]]*145.037)*Table1123245[[#This Row],[b (mm)]]*Table1123245[[#This Row],[d (mm)]]*(1/25.4)^2)</f>
        <v>0.35039138953758697</v>
      </c>
      <c r="W2" s="8">
        <f>Table1123245[[#This Row],[M (KN.mm)]]/$G$7</f>
        <v>0.2690909090909091</v>
      </c>
      <c r="X2" s="8">
        <f>E2*224.8/(2*SQRT(Table1123245[[#This Row],[fc (Mpa)]]*145.037)*Table1123245[[#This Row],[b (mm)]]*Table1123245[[#This Row],[d (mm)]]*(1/25.4)^2+Table1123245[[#This Row],[Av fy d/s (N)]]*0.2248)</f>
        <v>0.22967642630305504</v>
      </c>
      <c r="Y2" s="8">
        <v>0.4</v>
      </c>
      <c r="Z2" s="8">
        <f>Table1123245[[#This Row],[Av fy/(b S) (Mpa)]]*Table1123245[[#This Row],[d (mm)]]*Table1123245[[#This Row],[b (mm)]]</f>
        <v>111000</v>
      </c>
      <c r="AA2" s="8">
        <f>Table1123245[[#This Row],[d (mm)]]/600</f>
        <v>1.5416666666666667</v>
      </c>
      <c r="AB2" s="8">
        <f>Table1123245[[#This Row],[a/d]]*Table1123245[[#This Row],[d]]</f>
        <v>2700</v>
      </c>
      <c r="AC2" s="8">
        <f>Table1123245[[#This Row],[d]]</f>
        <v>925</v>
      </c>
      <c r="AD2" s="8">
        <v>1000</v>
      </c>
      <c r="AE2" s="5">
        <v>300</v>
      </c>
      <c r="AF2" s="5">
        <v>21</v>
      </c>
      <c r="AG2" s="8">
        <f>Table1123245[[#This Row],[pho (%)]]/100*Table1123245[[#This Row],[b (mm)]]*Table1123245[[#This Row],[d (mm)]]</f>
        <v>2802.75</v>
      </c>
      <c r="AH2" s="8">
        <v>1.01</v>
      </c>
      <c r="AI2" s="8">
        <v>508</v>
      </c>
      <c r="AJ2" s="8">
        <f>(1/3-0.21*(MIN(Table1123245[[#This Row],[b (mm)]],AD2)/MAX(Table1123245[[#This Row],[b (mm)]],AD2))*(MIN(Table1123245[[#This Row],[b (mm)]],AD2)^4/(12*MAX(Table1123245[[#This Row],[b (mm)]],AD2)^4)))*MAX(Table1123245[[#This Row],[b (mm)]],AD2)*MIN(Table1123245[[#This Row],[b (mm)]],AD2)^3</f>
        <v>8998851825</v>
      </c>
      <c r="AK2" s="8">
        <f>Table1123245[[#This Row],[b (mm)]]*AD2^3/12</f>
        <v>25000000000</v>
      </c>
      <c r="AL2" s="8">
        <v>6000</v>
      </c>
      <c r="AM2" s="12" t="s">
        <v>17</v>
      </c>
      <c r="AN2" s="6">
        <v>1250</v>
      </c>
    </row>
    <row r="3" spans="1:42" x14ac:dyDescent="0.25">
      <c r="A3" s="27" t="s">
        <v>127</v>
      </c>
      <c r="B3" s="27">
        <v>2</v>
      </c>
      <c r="C3" s="3">
        <v>2</v>
      </c>
      <c r="D3" s="64">
        <f>2700/Table1123245[[#This Row],[d]]</f>
        <v>2.9189189189189189</v>
      </c>
      <c r="E3" s="3">
        <v>92</v>
      </c>
      <c r="F3" s="3">
        <v>925</v>
      </c>
      <c r="G3" s="8">
        <f t="shared" si="0"/>
        <v>248400</v>
      </c>
      <c r="H3" s="8">
        <f t="shared" si="1"/>
        <v>3.7726707145886221E-7</v>
      </c>
      <c r="I3" s="8">
        <f>G3/(Table1123245[[#This Row],[b (mm)]]*AC3^2)</f>
        <v>9.6771365960555153E-4</v>
      </c>
      <c r="J3" s="8">
        <f t="shared" si="2"/>
        <v>0.18860872760691344</v>
      </c>
      <c r="K3" s="8">
        <f t="shared" si="3"/>
        <v>3.2559001556095561E-7</v>
      </c>
      <c r="L3" s="8">
        <f>E3/(Table1123245[[#This Row],[b (mm)]]*AC3)</f>
        <v>3.3153153153153155E-4</v>
      </c>
      <c r="M3" s="8">
        <f>Table1123245[[#This Row],[M (KN.mm)]]/(Table1123245[[#This Row],[b (mm)]]*Table1123245[[#This Row],[d (mm)]])</f>
        <v>0.8951351351351351</v>
      </c>
      <c r="N3" s="8">
        <f>Table1123245[[#This Row],[M (KN.mm)]]/(Table1123245[[#This Row],[b (mm)]]*Table1123245[[#This Row],[h (mm)]])</f>
        <v>0.82799999999999996</v>
      </c>
      <c r="O3" s="8">
        <f>Table1123245[[#This Row],[M (KN.mm)]]/(Table1123245[[#This Row],[b (mm)]]*Table1123245[[#This Row],[h (mm)]]*Table1123245[[#This Row],[L(mm)]])</f>
        <v>1.3799999999999999E-4</v>
      </c>
      <c r="P3" s="8">
        <f>Table1123245[[#This Row],[M (KN.mm)]]/(Table1123245[[#This Row],[b (mm)]]*Table1123245[[#This Row],[d (mm)]]*Table1123245[[#This Row],[L(mm)]])</f>
        <v>1.491891891891892E-4</v>
      </c>
      <c r="Q3" s="8">
        <f>Table1123245[[#This Row],[M (KN.mm)]]/(Table1123245[[#This Row],[b (mm)]]*Table1123245[[#This Row],[h (mm)]]*Table1123245[[#This Row],[L(mm)]]*Table1123245[[#This Row],[fc (Mpa)]])</f>
        <v>6.5714285714285714E-6</v>
      </c>
      <c r="R3" s="8">
        <f>Table1123245[[#This Row],[M (KN.mm)]]/(Table1123245[[#This Row],[b (mm)]]*Table1123245[[#This Row],[h (mm)]]*Table1123245[[#This Row],[L(mm)]]/2)</f>
        <v>2.7599999999999999E-4</v>
      </c>
      <c r="S3" s="8">
        <f>Table1123245[[#This Row],[M (KN.mm)]]/(Table1123245[[#This Row],[a (mm)]]*Table1123245[[#This Row],[b (mm)]]*Table1123245[[#This Row],[h (mm)]]*Table1123245[[#This Row],[L(mm)]]/2)</f>
        <v>1.0222222222222223E-7</v>
      </c>
      <c r="T3" s="8">
        <f>G3/($AN$5*AK3*0.001*Table1123245[[#This Row],[pho (%)]])</f>
        <v>3.7353175391966554E-7</v>
      </c>
      <c r="U3" s="8">
        <f>Table1123245[[#This Row],[M (KN.mm)]]/(Table1123245[[#This Row],[b (mm)]]*Table1123245[[#This Row],[d (mm)]]*Table1123245[[#This Row],[pho (%)]])</f>
        <v>0.8862724110248863</v>
      </c>
      <c r="V3" s="8">
        <f>E3*224.8/(2*SQRT(Table1123245[[#This Row],[fc (Mpa)]]*145.037)*Table1123245[[#This Row],[b (mm)]]*Table1123245[[#This Row],[d (mm)]]*(1/25.4)^2)</f>
        <v>0.43562172753321626</v>
      </c>
      <c r="W3" s="8">
        <f>Table1123245[[#This Row],[M (KN.mm)]]/$G$7</f>
        <v>0.33454545454545453</v>
      </c>
      <c r="X3" s="8">
        <f>E3*224.8/(2*SQRT(Table1123245[[#This Row],[fc (Mpa)]]*145.037)*Table1123245[[#This Row],[b (mm)]]*Table1123245[[#This Row],[d (mm)]]*(1/25.4)^2+Table1123245[[#This Row],[Av fy d/s (N)]]*0.2248)</f>
        <v>0.28554366513352791</v>
      </c>
      <c r="Y3" s="8">
        <v>0.4</v>
      </c>
      <c r="Z3" s="8">
        <f>Table1123245[[#This Row],[Av fy/(b S) (Mpa)]]*Table1123245[[#This Row],[d (mm)]]*Table1123245[[#This Row],[b (mm)]]</f>
        <v>111000</v>
      </c>
      <c r="AA3" s="8">
        <f>Table1123245[[#This Row],[d (mm)]]/600</f>
        <v>1.5416666666666667</v>
      </c>
      <c r="AB3" s="8">
        <f>Table1123245[[#This Row],[a/d]]*Table1123245[[#This Row],[d]]</f>
        <v>2700</v>
      </c>
      <c r="AC3" s="8">
        <f>Table1123245[[#This Row],[d]]</f>
        <v>925</v>
      </c>
      <c r="AD3" s="8">
        <v>1000</v>
      </c>
      <c r="AE3" s="5">
        <v>300</v>
      </c>
      <c r="AF3" s="5">
        <v>21</v>
      </c>
      <c r="AG3" s="8">
        <f>Table1123245[[#This Row],[pho (%)]]/100*Table1123245[[#This Row],[b (mm)]]*Table1123245[[#This Row],[d (mm)]]</f>
        <v>2802.75</v>
      </c>
      <c r="AH3" s="8">
        <v>1.01</v>
      </c>
      <c r="AI3" s="8">
        <v>508</v>
      </c>
      <c r="AJ3" s="8">
        <f>(1/3-0.21*(MIN(Table1123245[[#This Row],[b (mm)]],AD3)/MAX(Table1123245[[#This Row],[b (mm)]],AD3))*(MIN(Table1123245[[#This Row],[b (mm)]],AD3)^4/(12*MAX(Table1123245[[#This Row],[b (mm)]],AD3)^4)))*MAX(Table1123245[[#This Row],[b (mm)]],AD3)*MIN(Table1123245[[#This Row],[b (mm)]],AD3)^3</f>
        <v>8998851825</v>
      </c>
      <c r="AK3" s="8">
        <f>Table1123245[[#This Row],[b (mm)]]*AD3^3/12</f>
        <v>25000000000</v>
      </c>
      <c r="AL3" s="8">
        <v>6000</v>
      </c>
      <c r="AM3" s="12" t="s">
        <v>2</v>
      </c>
      <c r="AN3" s="6">
        <v>200</v>
      </c>
    </row>
    <row r="4" spans="1:42" x14ac:dyDescent="0.25">
      <c r="A4" s="27" t="s">
        <v>127</v>
      </c>
      <c r="B4" s="27">
        <v>3</v>
      </c>
      <c r="C4" s="3">
        <v>3</v>
      </c>
      <c r="D4" s="64">
        <f>2700/Table1123245[[#This Row],[d]]</f>
        <v>2.9189189189189189</v>
      </c>
      <c r="E4" s="3">
        <v>140</v>
      </c>
      <c r="F4" s="3">
        <v>925</v>
      </c>
      <c r="G4" s="8">
        <f t="shared" si="0"/>
        <v>378000</v>
      </c>
      <c r="H4" s="8">
        <f t="shared" si="1"/>
        <v>5.7410206526348592E-7</v>
      </c>
      <c r="I4" s="8">
        <f>G4/(Table1123245[[#This Row],[b (mm)]]*AC4^2)</f>
        <v>1.4726077428780131E-3</v>
      </c>
      <c r="J4" s="8">
        <f t="shared" si="2"/>
        <v>0.2870132811409552</v>
      </c>
      <c r="K4" s="8">
        <f t="shared" si="3"/>
        <v>4.9546306715797601E-7</v>
      </c>
      <c r="L4" s="8">
        <f>E4/(Table1123245[[#This Row],[b (mm)]]*AC4)</f>
        <v>5.0450450450450449E-4</v>
      </c>
      <c r="M4" s="8">
        <f>Table1123245[[#This Row],[M (KN.mm)]]/(Table1123245[[#This Row],[b (mm)]]*Table1123245[[#This Row],[d (mm)]])</f>
        <v>1.3621621621621622</v>
      </c>
      <c r="N4" s="8">
        <f>Table1123245[[#This Row],[M (KN.mm)]]/(Table1123245[[#This Row],[b (mm)]]*Table1123245[[#This Row],[h (mm)]])</f>
        <v>1.26</v>
      </c>
      <c r="O4" s="8">
        <f>Table1123245[[#This Row],[M (KN.mm)]]/(Table1123245[[#This Row],[b (mm)]]*Table1123245[[#This Row],[h (mm)]]*Table1123245[[#This Row],[L(mm)]])</f>
        <v>2.1000000000000001E-4</v>
      </c>
      <c r="P4" s="8">
        <f>Table1123245[[#This Row],[M (KN.mm)]]/(Table1123245[[#This Row],[b (mm)]]*Table1123245[[#This Row],[d (mm)]]*Table1123245[[#This Row],[L(mm)]])</f>
        <v>2.2702702702702703E-4</v>
      </c>
      <c r="Q4" s="8">
        <f>Table1123245[[#This Row],[M (KN.mm)]]/(Table1123245[[#This Row],[b (mm)]]*Table1123245[[#This Row],[h (mm)]]*Table1123245[[#This Row],[L(mm)]]*Table1123245[[#This Row],[fc (Mpa)]])</f>
        <v>1.0000000000000001E-5</v>
      </c>
      <c r="R4" s="8">
        <f>Table1123245[[#This Row],[M (KN.mm)]]/(Table1123245[[#This Row],[b (mm)]]*Table1123245[[#This Row],[h (mm)]]*Table1123245[[#This Row],[L(mm)]]/2)</f>
        <v>4.2000000000000002E-4</v>
      </c>
      <c r="S4" s="8">
        <f>Table1123245[[#This Row],[M (KN.mm)]]/(Table1123245[[#This Row],[a (mm)]]*Table1123245[[#This Row],[b (mm)]]*Table1123245[[#This Row],[h (mm)]]*Table1123245[[#This Row],[L(mm)]]/2)</f>
        <v>1.5555555555555556E-7</v>
      </c>
      <c r="T4" s="8">
        <f>G4/($AN$5*AK4*0.001*Table1123245[[#This Row],[pho (%)]])</f>
        <v>5.6841788639949103E-7</v>
      </c>
      <c r="U4" s="8">
        <f>Table1123245[[#This Row],[M (KN.mm)]]/(Table1123245[[#This Row],[b (mm)]]*Table1123245[[#This Row],[d (mm)]]*Table1123245[[#This Row],[pho (%)]])</f>
        <v>1.3486754080813488</v>
      </c>
      <c r="V4" s="8">
        <f>E4*224.8/(2*SQRT(Table1123245[[#This Row],[fc (Mpa)]]*145.037)*Table1123245[[#This Row],[b (mm)]]*Table1123245[[#This Row],[d (mm)]]*(1/25.4)^2)</f>
        <v>0.66290262885489426</v>
      </c>
      <c r="W4" s="8">
        <f>Table1123245[[#This Row],[M (KN.mm)]]/$G$7</f>
        <v>0.50909090909090904</v>
      </c>
      <c r="X4" s="8">
        <f>E4*224.8/(2*SQRT(Table1123245[[#This Row],[fc (Mpa)]]*145.037)*Table1123245[[#This Row],[b (mm)]]*Table1123245[[#This Row],[d (mm)]]*(1/25.4)^2+Table1123245[[#This Row],[Av fy d/s (N)]]*0.2248)</f>
        <v>0.43452296868145546</v>
      </c>
      <c r="Y4" s="8">
        <v>0.4</v>
      </c>
      <c r="Z4" s="8">
        <f>Table1123245[[#This Row],[Av fy/(b S) (Mpa)]]*Table1123245[[#This Row],[d (mm)]]*Table1123245[[#This Row],[b (mm)]]</f>
        <v>111000</v>
      </c>
      <c r="AA4" s="8">
        <f>Table1123245[[#This Row],[d (mm)]]/600</f>
        <v>1.5416666666666667</v>
      </c>
      <c r="AB4" s="8">
        <f>Table1123245[[#This Row],[a/d]]*Table1123245[[#This Row],[d]]</f>
        <v>2700</v>
      </c>
      <c r="AC4" s="8">
        <f>Table1123245[[#This Row],[d]]</f>
        <v>925</v>
      </c>
      <c r="AD4" s="8">
        <v>1000</v>
      </c>
      <c r="AE4" s="5">
        <v>300</v>
      </c>
      <c r="AF4" s="5">
        <v>21</v>
      </c>
      <c r="AG4" s="8">
        <f>Table1123245[[#This Row],[pho (%)]]/100*Table1123245[[#This Row],[b (mm)]]*Table1123245[[#This Row],[d (mm)]]</f>
        <v>2802.75</v>
      </c>
      <c r="AH4" s="8">
        <v>1.01</v>
      </c>
      <c r="AI4" s="8">
        <v>508</v>
      </c>
      <c r="AJ4" s="8">
        <f>(1/3-0.21*(MIN(Table1123245[[#This Row],[b (mm)]],AD4)/MAX(Table1123245[[#This Row],[b (mm)]],AD4))*(MIN(Table1123245[[#This Row],[b (mm)]],AD4)^4/(12*MAX(Table1123245[[#This Row],[b (mm)]],AD4)^4)))*MAX(Table1123245[[#This Row],[b (mm)]],AD4)*MIN(Table1123245[[#This Row],[b (mm)]],AD4)^3</f>
        <v>8998851825</v>
      </c>
      <c r="AK4" s="8">
        <f>Table1123245[[#This Row],[b (mm)]]*AD4^3/12</f>
        <v>25000000000</v>
      </c>
      <c r="AL4" s="8">
        <v>6000</v>
      </c>
      <c r="AM4" s="12" t="s">
        <v>3</v>
      </c>
      <c r="AN4" s="6">
        <v>31.4</v>
      </c>
    </row>
    <row r="5" spans="1:42" x14ac:dyDescent="0.25">
      <c r="A5" s="27" t="s">
        <v>127</v>
      </c>
      <c r="B5" s="27">
        <v>4</v>
      </c>
      <c r="C5" s="3">
        <v>4</v>
      </c>
      <c r="D5" s="64">
        <f>2700/Table1123245[[#This Row],[d]]</f>
        <v>2.9189189189189189</v>
      </c>
      <c r="E5" s="3">
        <v>200</v>
      </c>
      <c r="F5" s="3">
        <v>925</v>
      </c>
      <c r="G5" s="8">
        <f t="shared" si="0"/>
        <v>540000</v>
      </c>
      <c r="H5" s="8">
        <f t="shared" si="1"/>
        <v>8.2014580751926564E-7</v>
      </c>
      <c r="I5" s="8">
        <f>G5/(Table1123245[[#This Row],[b (mm)]]*AC5^2)</f>
        <v>2.10372534696859E-3</v>
      </c>
      <c r="J5" s="8">
        <f t="shared" si="2"/>
        <v>0.41001897305850743</v>
      </c>
      <c r="K5" s="8">
        <f t="shared" si="3"/>
        <v>7.0780438165425135E-7</v>
      </c>
      <c r="L5" s="8">
        <f>E5/(Table1123245[[#This Row],[b (mm)]]*AC5)</f>
        <v>7.2072072072072073E-4</v>
      </c>
      <c r="M5" s="8">
        <f>Table1123245[[#This Row],[M (KN.mm)]]/(Table1123245[[#This Row],[b (mm)]]*Table1123245[[#This Row],[d (mm)]])</f>
        <v>1.9459459459459461</v>
      </c>
      <c r="N5" s="8">
        <f>Table1123245[[#This Row],[M (KN.mm)]]/(Table1123245[[#This Row],[b (mm)]]*Table1123245[[#This Row],[h (mm)]])</f>
        <v>1.8</v>
      </c>
      <c r="O5" s="8">
        <f>Table1123245[[#This Row],[M (KN.mm)]]/(Table1123245[[#This Row],[b (mm)]]*Table1123245[[#This Row],[h (mm)]]*Table1123245[[#This Row],[L(mm)]])</f>
        <v>2.9999999999999997E-4</v>
      </c>
      <c r="P5" s="8">
        <f>Table1123245[[#This Row],[M (KN.mm)]]/(Table1123245[[#This Row],[b (mm)]]*Table1123245[[#This Row],[d (mm)]]*Table1123245[[#This Row],[L(mm)]])</f>
        <v>3.2432432432432431E-4</v>
      </c>
      <c r="Q5" s="8">
        <f>Table1123245[[#This Row],[M (KN.mm)]]/(Table1123245[[#This Row],[b (mm)]]*Table1123245[[#This Row],[h (mm)]]*Table1123245[[#This Row],[L(mm)]]*Table1123245[[#This Row],[fc (Mpa)]])</f>
        <v>1.4285714285714285E-5</v>
      </c>
      <c r="R5" s="8">
        <f>Table1123245[[#This Row],[M (KN.mm)]]/(Table1123245[[#This Row],[b (mm)]]*Table1123245[[#This Row],[h (mm)]]*Table1123245[[#This Row],[L(mm)]]/2)</f>
        <v>5.9999999999999995E-4</v>
      </c>
      <c r="S5" s="8">
        <f>Table1123245[[#This Row],[M (KN.mm)]]/(Table1123245[[#This Row],[a (mm)]]*Table1123245[[#This Row],[b (mm)]]*Table1123245[[#This Row],[h (mm)]]*Table1123245[[#This Row],[L(mm)]]/2)</f>
        <v>2.2222222222222222E-7</v>
      </c>
      <c r="T5" s="8">
        <f>G5/($AN$5*AK5*0.001*Table1123245[[#This Row],[pho (%)]])</f>
        <v>8.1202555199927289E-7</v>
      </c>
      <c r="U5" s="8">
        <f>Table1123245[[#This Row],[M (KN.mm)]]/(Table1123245[[#This Row],[b (mm)]]*Table1123245[[#This Row],[d (mm)]]*Table1123245[[#This Row],[pho (%)]])</f>
        <v>1.9266791544019266</v>
      </c>
      <c r="V5" s="8">
        <f>E5*224.8/(2*SQRT(Table1123245[[#This Row],[fc (Mpa)]]*145.037)*Table1123245[[#This Row],[b (mm)]]*Table1123245[[#This Row],[d (mm)]]*(1/25.4)^2)</f>
        <v>0.94700375550699178</v>
      </c>
      <c r="W5" s="8">
        <f>Table1123245[[#This Row],[M (KN.mm)]]/$G$7</f>
        <v>0.72727272727272729</v>
      </c>
      <c r="X5" s="8">
        <f>E5*224.8/(2*SQRT(Table1123245[[#This Row],[fc (Mpa)]]*145.037)*Table1123245[[#This Row],[b (mm)]]*Table1123245[[#This Row],[d (mm)]]*(1/25.4)^2+Table1123245[[#This Row],[Av fy d/s (N)]]*0.2248)</f>
        <v>0.62074709811636497</v>
      </c>
      <c r="Y5" s="8">
        <v>0.4</v>
      </c>
      <c r="Z5" s="8">
        <f>Table1123245[[#This Row],[Av fy/(b S) (Mpa)]]*Table1123245[[#This Row],[d (mm)]]*Table1123245[[#This Row],[b (mm)]]</f>
        <v>111000</v>
      </c>
      <c r="AA5" s="8">
        <f>Table1123245[[#This Row],[d (mm)]]/600</f>
        <v>1.5416666666666667</v>
      </c>
      <c r="AB5" s="8">
        <f>Table1123245[[#This Row],[a/d]]*Table1123245[[#This Row],[d]]</f>
        <v>2700</v>
      </c>
      <c r="AC5" s="8">
        <f>Table1123245[[#This Row],[d]]</f>
        <v>925</v>
      </c>
      <c r="AD5" s="8">
        <v>1000</v>
      </c>
      <c r="AE5" s="5">
        <v>300</v>
      </c>
      <c r="AF5" s="5">
        <v>21</v>
      </c>
      <c r="AG5" s="8">
        <f>Table1123245[[#This Row],[pho (%)]]/100*Table1123245[[#This Row],[b (mm)]]*Table1123245[[#This Row],[d (mm)]]</f>
        <v>2802.75</v>
      </c>
      <c r="AH5" s="8">
        <v>1.01</v>
      </c>
      <c r="AI5" s="8">
        <v>508</v>
      </c>
      <c r="AJ5" s="8">
        <f>(1/3-0.21*(MIN(Table1123245[[#This Row],[b (mm)]],AD5)/MAX(Table1123245[[#This Row],[b (mm)]],AD5))*(MIN(Table1123245[[#This Row],[b (mm)]],AD5)^4/(12*MAX(Table1123245[[#This Row],[b (mm)]],AD5)^4)))*MAX(Table1123245[[#This Row],[b (mm)]],AD5)*MIN(Table1123245[[#This Row],[b (mm)]],AD5)^3</f>
        <v>8998851825</v>
      </c>
      <c r="AK5" s="8">
        <f>Table1123245[[#This Row],[b (mm)]]*AD5^3/12</f>
        <v>25000000000</v>
      </c>
      <c r="AL5" s="8">
        <v>6000</v>
      </c>
      <c r="AM5" s="12" t="s">
        <v>4</v>
      </c>
      <c r="AN5" s="6">
        <f>4700*SQRT(AN4)</f>
        <v>26336.780365109171</v>
      </c>
    </row>
    <row r="6" spans="1:42" x14ac:dyDescent="0.25">
      <c r="A6" s="27" t="s">
        <v>127</v>
      </c>
      <c r="B6" s="27">
        <v>5</v>
      </c>
      <c r="C6" s="3">
        <v>5</v>
      </c>
      <c r="D6" s="64">
        <f>2700/Table1123245[[#This Row],[d]]</f>
        <v>2.9189189189189189</v>
      </c>
      <c r="E6" s="3">
        <v>250</v>
      </c>
      <c r="F6" s="3">
        <v>925</v>
      </c>
      <c r="G6" s="8">
        <f t="shared" si="0"/>
        <v>675000</v>
      </c>
      <c r="H6" s="8">
        <f t="shared" si="1"/>
        <v>1.025182259399082E-6</v>
      </c>
      <c r="I6" s="8">
        <f>G6/(Table1123245[[#This Row],[b (mm)]]*AC6^2)</f>
        <v>2.6296566837107379E-3</v>
      </c>
      <c r="J6" s="8">
        <f t="shared" si="2"/>
        <v>0.51252371632313432</v>
      </c>
      <c r="K6" s="8">
        <f t="shared" si="3"/>
        <v>8.8475547706781425E-7</v>
      </c>
      <c r="L6" s="8">
        <f>E6/(Table1123245[[#This Row],[b (mm)]]*AC6)</f>
        <v>9.0090090090090091E-4</v>
      </c>
      <c r="M6" s="8">
        <f>Table1123245[[#This Row],[M (KN.mm)]]/(Table1123245[[#This Row],[b (mm)]]*Table1123245[[#This Row],[d (mm)]])</f>
        <v>2.4324324324324325</v>
      </c>
      <c r="N6" s="8">
        <f>Table1123245[[#This Row],[M (KN.mm)]]/(Table1123245[[#This Row],[b (mm)]]*Table1123245[[#This Row],[h (mm)]])</f>
        <v>2.25</v>
      </c>
      <c r="O6" s="8">
        <f>Table1123245[[#This Row],[M (KN.mm)]]/(Table1123245[[#This Row],[b (mm)]]*Table1123245[[#This Row],[h (mm)]]*Table1123245[[#This Row],[L(mm)]])</f>
        <v>3.7500000000000001E-4</v>
      </c>
      <c r="P6" s="8">
        <f>Table1123245[[#This Row],[M (KN.mm)]]/(Table1123245[[#This Row],[b (mm)]]*Table1123245[[#This Row],[d (mm)]]*Table1123245[[#This Row],[L(mm)]])</f>
        <v>4.0540540540540538E-4</v>
      </c>
      <c r="Q6" s="8">
        <f>Table1123245[[#This Row],[M (KN.mm)]]/(Table1123245[[#This Row],[b (mm)]]*Table1123245[[#This Row],[h (mm)]]*Table1123245[[#This Row],[L(mm)]]*Table1123245[[#This Row],[fc (Mpa)]])</f>
        <v>1.7857142857142858E-5</v>
      </c>
      <c r="R6" s="8">
        <f>Table1123245[[#This Row],[M (KN.mm)]]/(Table1123245[[#This Row],[b (mm)]]*Table1123245[[#This Row],[h (mm)]]*Table1123245[[#This Row],[L(mm)]]/2)</f>
        <v>7.5000000000000002E-4</v>
      </c>
      <c r="S6" s="8">
        <f>Table1123245[[#This Row],[M (KN.mm)]]/(Table1123245[[#This Row],[a (mm)]]*Table1123245[[#This Row],[b (mm)]]*Table1123245[[#This Row],[h (mm)]]*Table1123245[[#This Row],[L(mm)]]/2)</f>
        <v>2.7777777777777776E-7</v>
      </c>
      <c r="T6" s="8">
        <f>G6/($AN$5*AK6*0.001*Table1123245[[#This Row],[pho (%)]])</f>
        <v>1.015031939999091E-6</v>
      </c>
      <c r="U6" s="8">
        <f>Table1123245[[#This Row],[M (KN.mm)]]/(Table1123245[[#This Row],[b (mm)]]*Table1123245[[#This Row],[d (mm)]]*Table1123245[[#This Row],[pho (%)]])</f>
        <v>2.4083489430024083</v>
      </c>
      <c r="V6" s="8">
        <f>E6*224.8/(2*SQRT(Table1123245[[#This Row],[fc (Mpa)]]*145.037)*Table1123245[[#This Row],[b (mm)]]*Table1123245[[#This Row],[d (mm)]]*(1/25.4)^2)</f>
        <v>1.1837546943837398</v>
      </c>
      <c r="W6" s="8">
        <f>Table1123245[[#This Row],[M (KN.mm)]]/$G$7</f>
        <v>0.90909090909090906</v>
      </c>
      <c r="X6" s="8">
        <f>E6*224.8/(2*SQRT(Table1123245[[#This Row],[fc (Mpa)]]*145.037)*Table1123245[[#This Row],[b (mm)]]*Table1123245[[#This Row],[d (mm)]]*(1/25.4)^2+Table1123245[[#This Row],[Av fy d/s (N)]]*0.2248)</f>
        <v>0.77593387264545621</v>
      </c>
      <c r="Y6" s="8">
        <v>0.4</v>
      </c>
      <c r="Z6" s="8">
        <f>Table1123245[[#This Row],[Av fy/(b S) (Mpa)]]*Table1123245[[#This Row],[d (mm)]]*Table1123245[[#This Row],[b (mm)]]</f>
        <v>111000</v>
      </c>
      <c r="AA6" s="8">
        <f>Table1123245[[#This Row],[d (mm)]]/600</f>
        <v>1.5416666666666667</v>
      </c>
      <c r="AB6" s="8">
        <f>Table1123245[[#This Row],[a/d]]*Table1123245[[#This Row],[d]]</f>
        <v>2700</v>
      </c>
      <c r="AC6" s="8">
        <f>Table1123245[[#This Row],[d]]</f>
        <v>925</v>
      </c>
      <c r="AD6" s="8">
        <v>1000</v>
      </c>
      <c r="AE6" s="5">
        <v>300</v>
      </c>
      <c r="AF6" s="5">
        <v>21</v>
      </c>
      <c r="AG6" s="8">
        <f>Table1123245[[#This Row],[pho (%)]]/100*Table1123245[[#This Row],[b (mm)]]*Table1123245[[#This Row],[d (mm)]]</f>
        <v>2802.75</v>
      </c>
      <c r="AH6" s="8">
        <v>1.01</v>
      </c>
      <c r="AI6" s="8">
        <v>508</v>
      </c>
      <c r="AJ6" s="8">
        <f>(1/3-0.21*(MIN(Table1123245[[#This Row],[b (mm)]],AD6)/MAX(Table1123245[[#This Row],[b (mm)]],AD6))*(MIN(Table1123245[[#This Row],[b (mm)]],AD6)^4/(12*MAX(Table1123245[[#This Row],[b (mm)]],AD6)^4)))*MAX(Table1123245[[#This Row],[b (mm)]],AD6)*MIN(Table1123245[[#This Row],[b (mm)]],AD6)^3</f>
        <v>8998851825</v>
      </c>
      <c r="AK6" s="8">
        <f>Table1123245[[#This Row],[b (mm)]]*AD6^3/12</f>
        <v>25000000000</v>
      </c>
      <c r="AL6" s="8">
        <v>6000</v>
      </c>
      <c r="AM6" s="12" t="s">
        <v>12</v>
      </c>
      <c r="AN6" s="6">
        <f>AN5/(2*(1+0.15))</f>
        <v>11450.774071786596</v>
      </c>
    </row>
    <row r="7" spans="1:42" customFormat="1" x14ac:dyDescent="0.25">
      <c r="A7" s="27" t="s">
        <v>127</v>
      </c>
      <c r="B7" s="27">
        <v>6</v>
      </c>
      <c r="C7" s="3">
        <v>6</v>
      </c>
      <c r="D7" s="64">
        <f>2700/Table1123245[[#This Row],[d]]</f>
        <v>2.9189189189189189</v>
      </c>
      <c r="E7" s="15">
        <v>275</v>
      </c>
      <c r="F7" s="3">
        <v>925</v>
      </c>
      <c r="G7" s="8">
        <f t="shared" si="0"/>
        <v>742500</v>
      </c>
      <c r="H7" s="8">
        <f t="shared" si="1"/>
        <v>1.1277004853389902E-6</v>
      </c>
      <c r="I7" s="8">
        <f>G7/(Table1123245[[#This Row],[b (mm)]]*AC7^2)</f>
        <v>2.8926223520818117E-3</v>
      </c>
      <c r="J7" s="8">
        <f t="shared" si="2"/>
        <v>0.56377608795544776</v>
      </c>
      <c r="K7" s="8">
        <f t="shared" si="3"/>
        <v>9.7323102477459569E-7</v>
      </c>
      <c r="L7" s="8">
        <f>E7/(Table1123245[[#This Row],[b (mm)]]*AC7)</f>
        <v>9.9099099099099106E-4</v>
      </c>
      <c r="M7" s="8">
        <f>Table1123245[[#This Row],[M (KN.mm)]]/(Table1123245[[#This Row],[b (mm)]]*Table1123245[[#This Row],[d (mm)]])</f>
        <v>2.6756756756756759</v>
      </c>
      <c r="N7" s="8">
        <f>Table1123245[[#This Row],[M (KN.mm)]]/(Table1123245[[#This Row],[b (mm)]]*Table1123245[[#This Row],[h (mm)]])</f>
        <v>2.4750000000000001</v>
      </c>
      <c r="O7" s="8">
        <f>Table1123245[[#This Row],[M (KN.mm)]]/(Table1123245[[#This Row],[b (mm)]]*Table1123245[[#This Row],[h (mm)]]*Table1123245[[#This Row],[L(mm)]])</f>
        <v>4.125E-4</v>
      </c>
      <c r="P7" s="8">
        <f>Table1123245[[#This Row],[M (KN.mm)]]/(Table1123245[[#This Row],[b (mm)]]*Table1123245[[#This Row],[d (mm)]]*Table1123245[[#This Row],[L(mm)]])</f>
        <v>4.4594594594594592E-4</v>
      </c>
      <c r="Q7" s="8">
        <f>Table1123245[[#This Row],[M (KN.mm)]]/(Table1123245[[#This Row],[b (mm)]]*Table1123245[[#This Row],[h (mm)]]*Table1123245[[#This Row],[L(mm)]]*Table1123245[[#This Row],[fc (Mpa)]])</f>
        <v>1.9642857142857142E-5</v>
      </c>
      <c r="R7" s="8">
        <f>Table1123245[[#This Row],[M (KN.mm)]]/(Table1123245[[#This Row],[b (mm)]]*Table1123245[[#This Row],[h (mm)]]*Table1123245[[#This Row],[L(mm)]]/2)</f>
        <v>8.25E-4</v>
      </c>
      <c r="S7" s="8">
        <f>Table1123245[[#This Row],[M (KN.mm)]]/(Table1123245[[#This Row],[a (mm)]]*Table1123245[[#This Row],[b (mm)]]*Table1123245[[#This Row],[h (mm)]]*Table1123245[[#This Row],[L(mm)]]/2)</f>
        <v>3.0555555555555553E-7</v>
      </c>
      <c r="T7" s="8">
        <f>G7/($AN$5*AK7*0.001*Table1123245[[#This Row],[pho (%)]])</f>
        <v>1.1165351339990001E-6</v>
      </c>
      <c r="U7" s="8">
        <f>Table1123245[[#This Row],[M (KN.mm)]]/(Table1123245[[#This Row],[b (mm)]]*Table1123245[[#This Row],[d (mm)]]*Table1123245[[#This Row],[pho (%)]])</f>
        <v>2.6491838373026493</v>
      </c>
      <c r="V7" s="8">
        <f>E7*224.8/(2*SQRT(Table1123245[[#This Row],[fc (Mpa)]]*145.037)*Table1123245[[#This Row],[b (mm)]]*Table1123245[[#This Row],[d (mm)]]*(1/25.4)^2)</f>
        <v>1.3021301638221137</v>
      </c>
      <c r="W7" s="8">
        <f>Table1123245[[#This Row],[M (KN.mm)]]/$G$7</f>
        <v>1</v>
      </c>
      <c r="X7" s="8">
        <f>E7*224.8/(2*SQRT(Table1123245[[#This Row],[fc (Mpa)]]*145.037)*Table1123245[[#This Row],[b (mm)]]*Table1123245[[#This Row],[d (mm)]]*(1/25.4)^2+Table1123245[[#This Row],[Av fy d/s (N)]]*0.2248)</f>
        <v>0.85352725991000178</v>
      </c>
      <c r="Y7" s="8">
        <v>0.4</v>
      </c>
      <c r="Z7" s="8">
        <f>Table1123245[[#This Row],[Av fy/(b S) (Mpa)]]*Table1123245[[#This Row],[d (mm)]]*Table1123245[[#This Row],[b (mm)]]</f>
        <v>111000</v>
      </c>
      <c r="AA7" s="8">
        <f>Table1123245[[#This Row],[d (mm)]]/600</f>
        <v>1.5416666666666667</v>
      </c>
      <c r="AB7" s="8">
        <f>Table1123245[[#This Row],[a/d]]*Table1123245[[#This Row],[d]]</f>
        <v>2700</v>
      </c>
      <c r="AC7" s="8">
        <f>Table1123245[[#This Row],[d]]</f>
        <v>925</v>
      </c>
      <c r="AD7" s="8">
        <v>1000</v>
      </c>
      <c r="AE7" s="5">
        <v>300</v>
      </c>
      <c r="AF7" s="5">
        <v>21</v>
      </c>
      <c r="AG7" s="8">
        <f>Table1123245[[#This Row],[pho (%)]]/100*Table1123245[[#This Row],[b (mm)]]*Table1123245[[#This Row],[d (mm)]]</f>
        <v>2802.75</v>
      </c>
      <c r="AH7" s="8">
        <v>1.01</v>
      </c>
      <c r="AI7" s="8">
        <v>508</v>
      </c>
      <c r="AJ7" s="8">
        <f>(1/3-0.21*(MIN(Table1123245[[#This Row],[b (mm)]],AD7)/MAX(Table1123245[[#This Row],[b (mm)]],AD7))*(MIN(Table1123245[[#This Row],[b (mm)]],AD7)^4/(12*MAX(Table1123245[[#This Row],[b (mm)]],AD7)^4)))*MAX(Table1123245[[#This Row],[b (mm)]],AD7)*MIN(Table1123245[[#This Row],[b (mm)]],AD7)^3</f>
        <v>8998851825</v>
      </c>
      <c r="AK7" s="8">
        <f>Table1123245[[#This Row],[b (mm)]]*AD7^3/12</f>
        <v>25000000000</v>
      </c>
      <c r="AL7" s="8">
        <v>6000</v>
      </c>
    </row>
    <row r="8" spans="1:42" x14ac:dyDescent="0.25">
      <c r="A8" s="67" t="s">
        <v>128</v>
      </c>
      <c r="B8" s="15">
        <v>1</v>
      </c>
      <c r="C8" s="3">
        <v>7</v>
      </c>
      <c r="D8" s="64">
        <f>2700/Table1123245[[#This Row],[d]]</f>
        <v>2.9189189189189189</v>
      </c>
      <c r="E8" s="15">
        <v>77</v>
      </c>
      <c r="F8" s="3">
        <v>925</v>
      </c>
      <c r="G8" s="8">
        <f t="shared" ref="G8:G13" si="4">E8*AB8</f>
        <v>207900</v>
      </c>
      <c r="H8" s="8">
        <f t="shared" ref="H8:H13" si="5">G8/($AN$5*AK8*0.001)</f>
        <v>3.1575613589491728E-7</v>
      </c>
      <c r="I8" s="8">
        <f>G8/(Table1123245[[#This Row],[b (mm)]]*AC8^2)</f>
        <v>8.0993425858290726E-4</v>
      </c>
      <c r="J8" s="8">
        <f t="shared" ref="J8:J13" si="6">G8/(AG8*AI8*AC8*0.001)</f>
        <v>0.15785730462752537</v>
      </c>
      <c r="K8" s="8">
        <f t="shared" ref="K8:K13" si="7">E8/($AN$4*AJ8*0.001)</f>
        <v>2.7250468693688677E-7</v>
      </c>
      <c r="L8" s="8">
        <f>E8/(Table1123245[[#This Row],[b (mm)]]*AC8)</f>
        <v>2.7747747747747746E-4</v>
      </c>
      <c r="M8" s="8">
        <f>Table1123245[[#This Row],[M (KN.mm)]]/(Table1123245[[#This Row],[b (mm)]]*Table1123245[[#This Row],[d (mm)]])</f>
        <v>0.7491891891891892</v>
      </c>
      <c r="N8" s="8">
        <f>Table1123245[[#This Row],[M (KN.mm)]]/(Table1123245[[#This Row],[b (mm)]]*Table1123245[[#This Row],[h (mm)]])</f>
        <v>0.69299999999999995</v>
      </c>
      <c r="O8" s="8">
        <f>Table1123245[[#This Row],[M (KN.mm)]]/(Table1123245[[#This Row],[b (mm)]]*Table1123245[[#This Row],[h (mm)]]*Table1123245[[#This Row],[L(mm)]])</f>
        <v>1.155E-4</v>
      </c>
      <c r="P8" s="8">
        <f>Table1123245[[#This Row],[M (KN.mm)]]/(Table1123245[[#This Row],[b (mm)]]*Table1123245[[#This Row],[d (mm)]]*Table1123245[[#This Row],[L(mm)]])</f>
        <v>1.2486486486486487E-4</v>
      </c>
      <c r="Q8" s="8">
        <f>Table1123245[[#This Row],[M (KN.mm)]]/(Table1123245[[#This Row],[b (mm)]]*Table1123245[[#This Row],[h (mm)]]*Table1123245[[#This Row],[L(mm)]]*Table1123245[[#This Row],[fc (Mpa)]])</f>
        <v>3.0394736842105263E-6</v>
      </c>
      <c r="R8" s="8">
        <f>Table1123245[[#This Row],[M (KN.mm)]]/(Table1123245[[#This Row],[b (mm)]]*Table1123245[[#This Row],[h (mm)]]*Table1123245[[#This Row],[L(mm)]]/2)</f>
        <v>2.31E-4</v>
      </c>
      <c r="S8" s="8">
        <f>Table1123245[[#This Row],[M (KN.mm)]]/(Table1123245[[#This Row],[a (mm)]]*Table1123245[[#This Row],[b (mm)]]*Table1123245[[#This Row],[h (mm)]]*Table1123245[[#This Row],[L(mm)]]/2)</f>
        <v>8.5555555555555558E-8</v>
      </c>
      <c r="T8" s="8">
        <f>G8/($AN$5*AK8*0.001*Table1123245[[#This Row],[pho (%)]])</f>
        <v>3.1262983751972005E-7</v>
      </c>
      <c r="U8" s="8">
        <f>Table1123245[[#This Row],[M (KN.mm)]]/(Table1123245[[#This Row],[b (mm)]]*Table1123245[[#This Row],[d (mm)]]*Table1123245[[#This Row],[pho (%)]])</f>
        <v>0.74177147444474179</v>
      </c>
      <c r="V8" s="8">
        <f>E8*224.8/(2*SQRT(Table1123245[[#This Row],[fc (Mpa)]]*145.037)*Table1123245[[#This Row],[b (mm)]]*Table1123245[[#This Row],[d (mm)]]*(1/25.4)^2)</f>
        <v>0.27103805982325629</v>
      </c>
      <c r="W8" s="8">
        <f>Table1123245[[#This Row],[M (KN.mm)]]/$G$13</f>
        <v>0.28518518518518521</v>
      </c>
      <c r="X8" s="8">
        <f>E8*224.8/(2*SQRT(Table1123245[[#This Row],[fc (Mpa)]]*145.037)*Table1123245[[#This Row],[b (mm)]]*Table1123245[[#This Row],[d (mm)]]*(1/25.4)^2+Table1123245[[#This Row],[Av fy d/s (N)]]*0.2248)</f>
        <v>0.19489085143610707</v>
      </c>
      <c r="Y8" s="8">
        <v>0.4</v>
      </c>
      <c r="Z8" s="8">
        <f>Table1123245[[#This Row],[Av fy/(b S) (Mpa)]]*Table1123245[[#This Row],[d (mm)]]*Table1123245[[#This Row],[b (mm)]]</f>
        <v>111000</v>
      </c>
      <c r="AA8" s="8">
        <f>Table1123245[[#This Row],[d (mm)]]/300</f>
        <v>3.0833333333333335</v>
      </c>
      <c r="AB8" s="8">
        <f>Table1123245[[#This Row],[a/d]]*Table1123245[[#This Row],[d]]</f>
        <v>2700</v>
      </c>
      <c r="AC8" s="8">
        <f>Table1123245[[#This Row],[d]]</f>
        <v>925</v>
      </c>
      <c r="AD8" s="8">
        <v>1000</v>
      </c>
      <c r="AE8" s="5">
        <v>300</v>
      </c>
      <c r="AF8" s="15">
        <v>38</v>
      </c>
      <c r="AG8" s="8">
        <f>Table1123245[[#This Row],[pho (%)]]/100*Table1123245[[#This Row],[b (mm)]]*Table1123245[[#This Row],[d (mm)]]</f>
        <v>2802.75</v>
      </c>
      <c r="AH8" s="15">
        <v>1.01</v>
      </c>
      <c r="AI8" s="8">
        <v>508</v>
      </c>
      <c r="AJ8" s="8">
        <f>(1/3-0.21*(MIN(Table1123245[[#This Row],[b (mm)]],AD8)/MAX(Table1123245[[#This Row],[b (mm)]],AD8))*(MIN(Table1123245[[#This Row],[b (mm)]],AD8)^4/(12*MAX(Table1123245[[#This Row],[b (mm)]],AD8)^4)))*MAX(Table1123245[[#This Row],[b (mm)]],AD8)*MIN(Table1123245[[#This Row],[b (mm)]],AD8)^3</f>
        <v>8998851825</v>
      </c>
      <c r="AK8" s="8">
        <f>Table1123245[[#This Row],[b (mm)]]*AD8^3/12</f>
        <v>25000000000</v>
      </c>
      <c r="AL8" s="8">
        <v>6000</v>
      </c>
      <c r="AM8" s="12"/>
      <c r="AN8" s="6"/>
    </row>
    <row r="9" spans="1:42" x14ac:dyDescent="0.25">
      <c r="A9" s="67" t="s">
        <v>128</v>
      </c>
      <c r="B9" s="15">
        <v>2</v>
      </c>
      <c r="C9" s="3">
        <v>8</v>
      </c>
      <c r="D9" s="64">
        <f>2700/Table1123245[[#This Row],[d]]</f>
        <v>2.9189189189189189</v>
      </c>
      <c r="E9" s="15">
        <v>110</v>
      </c>
      <c r="F9" s="3">
        <v>925</v>
      </c>
      <c r="G9" s="8">
        <f t="shared" si="4"/>
        <v>297000</v>
      </c>
      <c r="H9" s="8">
        <f t="shared" si="5"/>
        <v>4.5108019413559611E-7</v>
      </c>
      <c r="I9" s="8">
        <f>G9/(Table1123245[[#This Row],[b (mm)]]*AC9^2)</f>
        <v>1.1570489408327246E-3</v>
      </c>
      <c r="J9" s="8">
        <f t="shared" si="6"/>
        <v>0.22551043518217911</v>
      </c>
      <c r="K9" s="8">
        <f t="shared" si="7"/>
        <v>3.8929240990983823E-7</v>
      </c>
      <c r="L9" s="8">
        <f>E9/(Table1123245[[#This Row],[b (mm)]]*AC9)</f>
        <v>3.9639639639639637E-4</v>
      </c>
      <c r="M9" s="8">
        <f>Table1123245[[#This Row],[M (KN.mm)]]/(Table1123245[[#This Row],[b (mm)]]*Table1123245[[#This Row],[d (mm)]])</f>
        <v>1.0702702702702702</v>
      </c>
      <c r="N9" s="8">
        <f>Table1123245[[#This Row],[M (KN.mm)]]/(Table1123245[[#This Row],[b (mm)]]*Table1123245[[#This Row],[h (mm)]])</f>
        <v>0.99</v>
      </c>
      <c r="O9" s="8">
        <f>Table1123245[[#This Row],[M (KN.mm)]]/(Table1123245[[#This Row],[b (mm)]]*Table1123245[[#This Row],[h (mm)]]*Table1123245[[#This Row],[L(mm)]])</f>
        <v>1.65E-4</v>
      </c>
      <c r="P9" s="8">
        <f>Table1123245[[#This Row],[M (KN.mm)]]/(Table1123245[[#This Row],[b (mm)]]*Table1123245[[#This Row],[d (mm)]]*Table1123245[[#This Row],[L(mm)]])</f>
        <v>1.7837837837837839E-4</v>
      </c>
      <c r="Q9" s="8">
        <f>Table1123245[[#This Row],[M (KN.mm)]]/(Table1123245[[#This Row],[b (mm)]]*Table1123245[[#This Row],[h (mm)]]*Table1123245[[#This Row],[L(mm)]]*Table1123245[[#This Row],[fc (Mpa)]])</f>
        <v>4.342105263157895E-6</v>
      </c>
      <c r="R9" s="8">
        <f>Table1123245[[#This Row],[M (KN.mm)]]/(Table1123245[[#This Row],[b (mm)]]*Table1123245[[#This Row],[h (mm)]]*Table1123245[[#This Row],[L(mm)]]/2)</f>
        <v>3.3E-4</v>
      </c>
      <c r="S9" s="8">
        <f>Table1123245[[#This Row],[M (KN.mm)]]/(Table1123245[[#This Row],[a (mm)]]*Table1123245[[#This Row],[b (mm)]]*Table1123245[[#This Row],[h (mm)]]*Table1123245[[#This Row],[L(mm)]]/2)</f>
        <v>1.2222222222222222E-7</v>
      </c>
      <c r="T9" s="8">
        <f>G9/($AN$5*AK9*0.001*Table1123245[[#This Row],[pho (%)]])</f>
        <v>4.4661405359960005E-7</v>
      </c>
      <c r="U9" s="8">
        <f>Table1123245[[#This Row],[M (KN.mm)]]/(Table1123245[[#This Row],[b (mm)]]*Table1123245[[#This Row],[d (mm)]]*Table1123245[[#This Row],[pho (%)]])</f>
        <v>1.0596735349210598</v>
      </c>
      <c r="V9" s="8">
        <f>E9*224.8/(2*SQRT(Table1123245[[#This Row],[fc (Mpa)]]*145.037)*Table1123245[[#This Row],[b (mm)]]*Table1123245[[#This Row],[d (mm)]]*(1/25.4)^2)</f>
        <v>0.38719722831893749</v>
      </c>
      <c r="W9" s="8">
        <f>Table1123245[[#This Row],[M (KN.mm)]]/$G$13</f>
        <v>0.40740740740740738</v>
      </c>
      <c r="X9" s="8">
        <f>E9*224.8/(2*SQRT(Table1123245[[#This Row],[fc (Mpa)]]*145.037)*Table1123245[[#This Row],[b (mm)]]*Table1123245[[#This Row],[d (mm)]]*(1/25.4)^2+Table1123245[[#This Row],[Av fy d/s (N)]]*0.2248)</f>
        <v>0.2784155020515815</v>
      </c>
      <c r="Y9" s="8">
        <v>0.4</v>
      </c>
      <c r="Z9" s="8">
        <f>Table1123245[[#This Row],[Av fy/(b S) (Mpa)]]*Table1123245[[#This Row],[d (mm)]]*Table1123245[[#This Row],[b (mm)]]</f>
        <v>111000</v>
      </c>
      <c r="AA9" s="8">
        <f>Table1123245[[#This Row],[d (mm)]]/300</f>
        <v>3.0833333333333335</v>
      </c>
      <c r="AB9" s="8">
        <f>Table1123245[[#This Row],[a/d]]*Table1123245[[#This Row],[d]]</f>
        <v>2700</v>
      </c>
      <c r="AC9" s="8">
        <f>Table1123245[[#This Row],[d]]</f>
        <v>925</v>
      </c>
      <c r="AD9" s="8">
        <v>1000</v>
      </c>
      <c r="AE9" s="5">
        <v>300</v>
      </c>
      <c r="AF9" s="15">
        <v>38</v>
      </c>
      <c r="AG9" s="8">
        <f>Table1123245[[#This Row],[pho (%)]]/100*Table1123245[[#This Row],[b (mm)]]*Table1123245[[#This Row],[d (mm)]]</f>
        <v>2802.75</v>
      </c>
      <c r="AH9" s="15">
        <v>1.01</v>
      </c>
      <c r="AI9" s="8">
        <v>508</v>
      </c>
      <c r="AJ9" s="8">
        <f>(1/3-0.21*(MIN(Table1123245[[#This Row],[b (mm)]],AD9)/MAX(Table1123245[[#This Row],[b (mm)]],AD9))*(MIN(Table1123245[[#This Row],[b (mm)]],AD9)^4/(12*MAX(Table1123245[[#This Row],[b (mm)]],AD9)^4)))*MAX(Table1123245[[#This Row],[b (mm)]],AD9)*MIN(Table1123245[[#This Row],[b (mm)]],AD9)^3</f>
        <v>8998851825</v>
      </c>
      <c r="AK9" s="8">
        <f>Table1123245[[#This Row],[b (mm)]]*AD9^3/12</f>
        <v>25000000000</v>
      </c>
      <c r="AL9" s="8">
        <v>6000</v>
      </c>
      <c r="AM9" s="12"/>
      <c r="AN9" s="6"/>
    </row>
    <row r="10" spans="1:42" x14ac:dyDescent="0.25">
      <c r="A10" s="67" t="s">
        <v>128</v>
      </c>
      <c r="B10" s="15">
        <v>3</v>
      </c>
      <c r="C10" s="3">
        <v>9</v>
      </c>
      <c r="D10" s="64">
        <f>2700/Table1123245[[#This Row],[d]]</f>
        <v>2.9189189189189189</v>
      </c>
      <c r="E10" s="15">
        <v>160</v>
      </c>
      <c r="F10" s="3">
        <v>925</v>
      </c>
      <c r="G10" s="8">
        <f t="shared" si="4"/>
        <v>432000</v>
      </c>
      <c r="H10" s="8">
        <f t="shared" si="5"/>
        <v>6.5611664601541249E-7</v>
      </c>
      <c r="I10" s="8">
        <f>G10/(Table1123245[[#This Row],[b (mm)]]*AC10^2)</f>
        <v>1.6829802775748721E-3</v>
      </c>
      <c r="J10" s="8">
        <f t="shared" si="6"/>
        <v>0.32801517844680594</v>
      </c>
      <c r="K10" s="8">
        <f t="shared" si="7"/>
        <v>5.6624350532340113E-7</v>
      </c>
      <c r="L10" s="8">
        <f>E10/(Table1123245[[#This Row],[b (mm)]]*AC10)</f>
        <v>5.7657657657657661E-4</v>
      </c>
      <c r="M10" s="8">
        <f>Table1123245[[#This Row],[M (KN.mm)]]/(Table1123245[[#This Row],[b (mm)]]*Table1123245[[#This Row],[d (mm)]])</f>
        <v>1.5567567567567568</v>
      </c>
      <c r="N10" s="8">
        <f>Table1123245[[#This Row],[M (KN.mm)]]/(Table1123245[[#This Row],[b (mm)]]*Table1123245[[#This Row],[h (mm)]])</f>
        <v>1.44</v>
      </c>
      <c r="O10" s="8">
        <f>Table1123245[[#This Row],[M (KN.mm)]]/(Table1123245[[#This Row],[b (mm)]]*Table1123245[[#This Row],[h (mm)]]*Table1123245[[#This Row],[L(mm)]])</f>
        <v>2.4000000000000001E-4</v>
      </c>
      <c r="P10" s="8">
        <f>Table1123245[[#This Row],[M (KN.mm)]]/(Table1123245[[#This Row],[b (mm)]]*Table1123245[[#This Row],[d (mm)]]*Table1123245[[#This Row],[L(mm)]])</f>
        <v>2.5945945945945944E-4</v>
      </c>
      <c r="Q10" s="8">
        <f>Table1123245[[#This Row],[M (KN.mm)]]/(Table1123245[[#This Row],[b (mm)]]*Table1123245[[#This Row],[h (mm)]]*Table1123245[[#This Row],[L(mm)]]*Table1123245[[#This Row],[fc (Mpa)]])</f>
        <v>6.3157894736842103E-6</v>
      </c>
      <c r="R10" s="8">
        <f>Table1123245[[#This Row],[M (KN.mm)]]/(Table1123245[[#This Row],[b (mm)]]*Table1123245[[#This Row],[h (mm)]]*Table1123245[[#This Row],[L(mm)]]/2)</f>
        <v>4.8000000000000001E-4</v>
      </c>
      <c r="S10" s="8">
        <f>Table1123245[[#This Row],[M (KN.mm)]]/(Table1123245[[#This Row],[a (mm)]]*Table1123245[[#This Row],[b (mm)]]*Table1123245[[#This Row],[h (mm)]]*Table1123245[[#This Row],[L(mm)]]/2)</f>
        <v>1.7777777777777779E-7</v>
      </c>
      <c r="T10" s="8">
        <f>G10/($AN$5*AK10*0.001*Table1123245[[#This Row],[pho (%)]])</f>
        <v>6.4962044159941825E-7</v>
      </c>
      <c r="U10" s="8">
        <f>Table1123245[[#This Row],[M (KN.mm)]]/(Table1123245[[#This Row],[b (mm)]]*Table1123245[[#This Row],[d (mm)]]*Table1123245[[#This Row],[pho (%)]])</f>
        <v>1.5413433235215412</v>
      </c>
      <c r="V10" s="8">
        <f>E10*224.8/(2*SQRT(Table1123245[[#This Row],[fc (Mpa)]]*145.037)*Table1123245[[#This Row],[b (mm)]]*Table1123245[[#This Row],[d (mm)]]*(1/25.4)^2)</f>
        <v>0.56319596846390907</v>
      </c>
      <c r="W10" s="8">
        <f>Table1123245[[#This Row],[M (KN.mm)]]/$G$13</f>
        <v>0.59259259259259256</v>
      </c>
      <c r="X10" s="8">
        <f>E10*224.8/(2*SQRT(Table1123245[[#This Row],[fc (Mpa)]]*145.037)*Table1123245[[#This Row],[b (mm)]]*Table1123245[[#This Row],[d (mm)]]*(1/25.4)^2+Table1123245[[#This Row],[Av fy d/s (N)]]*0.2248)</f>
        <v>0.40496800298411856</v>
      </c>
      <c r="Y10" s="8">
        <v>0.4</v>
      </c>
      <c r="Z10" s="8">
        <f>Table1123245[[#This Row],[Av fy/(b S) (Mpa)]]*Table1123245[[#This Row],[d (mm)]]*Table1123245[[#This Row],[b (mm)]]</f>
        <v>111000</v>
      </c>
      <c r="AA10" s="8">
        <f>Table1123245[[#This Row],[d (mm)]]/300</f>
        <v>3.0833333333333335</v>
      </c>
      <c r="AB10" s="8">
        <f>Table1123245[[#This Row],[a/d]]*Table1123245[[#This Row],[d]]</f>
        <v>2700</v>
      </c>
      <c r="AC10" s="8">
        <f>Table1123245[[#This Row],[d]]</f>
        <v>925</v>
      </c>
      <c r="AD10" s="8">
        <v>1000</v>
      </c>
      <c r="AE10" s="5">
        <v>300</v>
      </c>
      <c r="AF10" s="15">
        <v>38</v>
      </c>
      <c r="AG10" s="8">
        <f>Table1123245[[#This Row],[pho (%)]]/100*Table1123245[[#This Row],[b (mm)]]*Table1123245[[#This Row],[d (mm)]]</f>
        <v>2802.75</v>
      </c>
      <c r="AH10" s="15">
        <v>1.01</v>
      </c>
      <c r="AI10" s="8">
        <v>508</v>
      </c>
      <c r="AJ10" s="8">
        <f>(1/3-0.21*(MIN(Table1123245[[#This Row],[b (mm)]],AD10)/MAX(Table1123245[[#This Row],[b (mm)]],AD10))*(MIN(Table1123245[[#This Row],[b (mm)]],AD10)^4/(12*MAX(Table1123245[[#This Row],[b (mm)]],AD10)^4)))*MAX(Table1123245[[#This Row],[b (mm)]],AD10)*MIN(Table1123245[[#This Row],[b (mm)]],AD10)^3</f>
        <v>8998851825</v>
      </c>
      <c r="AK10" s="8">
        <f>Table1123245[[#This Row],[b (mm)]]*AD10^3/12</f>
        <v>25000000000</v>
      </c>
      <c r="AL10" s="8">
        <v>6000</v>
      </c>
      <c r="AM10" s="12"/>
      <c r="AN10" s="6"/>
    </row>
    <row r="11" spans="1:42" x14ac:dyDescent="0.25">
      <c r="A11" s="67" t="s">
        <v>128</v>
      </c>
      <c r="B11" s="15">
        <v>4</v>
      </c>
      <c r="C11" s="3">
        <v>10</v>
      </c>
      <c r="D11" s="64">
        <f>2700/Table1123245[[#This Row],[d]]</f>
        <v>2.9189189189189189</v>
      </c>
      <c r="E11" s="15">
        <v>220</v>
      </c>
      <c r="F11" s="3">
        <v>925</v>
      </c>
      <c r="G11" s="8">
        <f t="shared" si="4"/>
        <v>594000</v>
      </c>
      <c r="H11" s="8">
        <f t="shared" si="5"/>
        <v>9.0216038827119221E-7</v>
      </c>
      <c r="I11" s="8">
        <f>G11/(Table1123245[[#This Row],[b (mm)]]*AC11^2)</f>
        <v>2.3140978816654492E-3</v>
      </c>
      <c r="J11" s="8">
        <f t="shared" si="6"/>
        <v>0.45102087036435823</v>
      </c>
      <c r="K11" s="8">
        <f t="shared" si="7"/>
        <v>7.7858481981967647E-7</v>
      </c>
      <c r="L11" s="8">
        <f>E11/(Table1123245[[#This Row],[b (mm)]]*AC11)</f>
        <v>7.9279279279279274E-4</v>
      </c>
      <c r="M11" s="8">
        <f>Table1123245[[#This Row],[M (KN.mm)]]/(Table1123245[[#This Row],[b (mm)]]*Table1123245[[#This Row],[d (mm)]])</f>
        <v>2.1405405405405404</v>
      </c>
      <c r="N11" s="8">
        <f>Table1123245[[#This Row],[M (KN.mm)]]/(Table1123245[[#This Row],[b (mm)]]*Table1123245[[#This Row],[h (mm)]])</f>
        <v>1.98</v>
      </c>
      <c r="O11" s="8">
        <f>Table1123245[[#This Row],[M (KN.mm)]]/(Table1123245[[#This Row],[b (mm)]]*Table1123245[[#This Row],[h (mm)]]*Table1123245[[#This Row],[L(mm)]])</f>
        <v>3.3E-4</v>
      </c>
      <c r="P11" s="8">
        <f>Table1123245[[#This Row],[M (KN.mm)]]/(Table1123245[[#This Row],[b (mm)]]*Table1123245[[#This Row],[d (mm)]]*Table1123245[[#This Row],[L(mm)]])</f>
        <v>3.5675675675675677E-4</v>
      </c>
      <c r="Q11" s="8">
        <f>Table1123245[[#This Row],[M (KN.mm)]]/(Table1123245[[#This Row],[b (mm)]]*Table1123245[[#This Row],[h (mm)]]*Table1123245[[#This Row],[L(mm)]]*Table1123245[[#This Row],[fc (Mpa)]])</f>
        <v>8.6842105263157901E-6</v>
      </c>
      <c r="R11" s="8">
        <f>Table1123245[[#This Row],[M (KN.mm)]]/(Table1123245[[#This Row],[b (mm)]]*Table1123245[[#This Row],[h (mm)]]*Table1123245[[#This Row],[L(mm)]]/2)</f>
        <v>6.6E-4</v>
      </c>
      <c r="S11" s="8">
        <f>Table1123245[[#This Row],[M (KN.mm)]]/(Table1123245[[#This Row],[a (mm)]]*Table1123245[[#This Row],[b (mm)]]*Table1123245[[#This Row],[h (mm)]]*Table1123245[[#This Row],[L(mm)]]/2)</f>
        <v>2.4444444444444445E-7</v>
      </c>
      <c r="T11" s="8">
        <f>G11/($AN$5*AK11*0.001*Table1123245[[#This Row],[pho (%)]])</f>
        <v>8.932281071992001E-7</v>
      </c>
      <c r="U11" s="8">
        <f>Table1123245[[#This Row],[M (KN.mm)]]/(Table1123245[[#This Row],[b (mm)]]*Table1123245[[#This Row],[d (mm)]]*Table1123245[[#This Row],[pho (%)]])</f>
        <v>2.1193470698421195</v>
      </c>
      <c r="V11" s="8">
        <f>E11*224.8/(2*SQRT(Table1123245[[#This Row],[fc (Mpa)]]*145.037)*Table1123245[[#This Row],[b (mm)]]*Table1123245[[#This Row],[d (mm)]]*(1/25.4)^2)</f>
        <v>0.77439445663787498</v>
      </c>
      <c r="W11" s="8">
        <f>Table1123245[[#This Row],[M (KN.mm)]]/$G$13</f>
        <v>0.81481481481481477</v>
      </c>
      <c r="X11" s="8">
        <f>E11*224.8/(2*SQRT(Table1123245[[#This Row],[fc (Mpa)]]*145.037)*Table1123245[[#This Row],[b (mm)]]*Table1123245[[#This Row],[d (mm)]]*(1/25.4)^2+Table1123245[[#This Row],[Av fy d/s (N)]]*0.2248)</f>
        <v>0.556831004103163</v>
      </c>
      <c r="Y11" s="8">
        <v>0.4</v>
      </c>
      <c r="Z11" s="8">
        <f>Table1123245[[#This Row],[Av fy/(b S) (Mpa)]]*Table1123245[[#This Row],[d (mm)]]*Table1123245[[#This Row],[b (mm)]]</f>
        <v>111000</v>
      </c>
      <c r="AA11" s="8">
        <f>Table1123245[[#This Row],[d (mm)]]/300</f>
        <v>3.0833333333333335</v>
      </c>
      <c r="AB11" s="8">
        <f>Table1123245[[#This Row],[a/d]]*Table1123245[[#This Row],[d]]</f>
        <v>2700</v>
      </c>
      <c r="AC11" s="8">
        <f>Table1123245[[#This Row],[d]]</f>
        <v>925</v>
      </c>
      <c r="AD11" s="8">
        <v>1000</v>
      </c>
      <c r="AE11" s="5">
        <v>300</v>
      </c>
      <c r="AF11" s="15">
        <v>38</v>
      </c>
      <c r="AG11" s="8">
        <f>Table1123245[[#This Row],[pho (%)]]/100*Table1123245[[#This Row],[b (mm)]]*Table1123245[[#This Row],[d (mm)]]</f>
        <v>2802.75</v>
      </c>
      <c r="AH11" s="15">
        <v>1.01</v>
      </c>
      <c r="AI11" s="8">
        <v>508</v>
      </c>
      <c r="AJ11" s="8">
        <f>(1/3-0.21*(MIN(Table1123245[[#This Row],[b (mm)]],AD11)/MAX(Table1123245[[#This Row],[b (mm)]],AD11))*(MIN(Table1123245[[#This Row],[b (mm)]],AD11)^4/(12*MAX(Table1123245[[#This Row],[b (mm)]],AD11)^4)))*MAX(Table1123245[[#This Row],[b (mm)]],AD11)*MIN(Table1123245[[#This Row],[b (mm)]],AD11)^3</f>
        <v>8998851825</v>
      </c>
      <c r="AK11" s="8">
        <f>Table1123245[[#This Row],[b (mm)]]*AD11^3/12</f>
        <v>25000000000</v>
      </c>
      <c r="AL11" s="8">
        <v>6000</v>
      </c>
      <c r="AM11" s="12"/>
      <c r="AN11" s="6"/>
    </row>
    <row r="12" spans="1:42" x14ac:dyDescent="0.25">
      <c r="A12" s="67" t="s">
        <v>128</v>
      </c>
      <c r="B12" s="15">
        <v>5</v>
      </c>
      <c r="C12" s="3">
        <v>11</v>
      </c>
      <c r="D12" s="64">
        <f>2700/Table1123245[[#This Row],[d]]</f>
        <v>2.9189189189189189</v>
      </c>
      <c r="E12" s="15">
        <v>260</v>
      </c>
      <c r="F12" s="3">
        <v>925</v>
      </c>
      <c r="G12" s="8">
        <f t="shared" si="4"/>
        <v>702000</v>
      </c>
      <c r="H12" s="8">
        <f t="shared" si="5"/>
        <v>1.0661895497750453E-6</v>
      </c>
      <c r="I12" s="8">
        <f>G12/(Table1123245[[#This Row],[b (mm)]]*AC12^2)</f>
        <v>2.7348429510591671E-3</v>
      </c>
      <c r="J12" s="8">
        <f t="shared" si="6"/>
        <v>0.53302466497605971</v>
      </c>
      <c r="K12" s="8">
        <f t="shared" si="7"/>
        <v>9.201456961505268E-7</v>
      </c>
      <c r="L12" s="8">
        <f>E12/(Table1123245[[#This Row],[b (mm)]]*AC12)</f>
        <v>9.3693693693693697E-4</v>
      </c>
      <c r="M12" s="8">
        <f>Table1123245[[#This Row],[M (KN.mm)]]/(Table1123245[[#This Row],[b (mm)]]*Table1123245[[#This Row],[d (mm)]])</f>
        <v>2.5297297297297296</v>
      </c>
      <c r="N12" s="8">
        <f>Table1123245[[#This Row],[M (KN.mm)]]/(Table1123245[[#This Row],[b (mm)]]*Table1123245[[#This Row],[h (mm)]])</f>
        <v>2.34</v>
      </c>
      <c r="O12" s="8">
        <f>Table1123245[[#This Row],[M (KN.mm)]]/(Table1123245[[#This Row],[b (mm)]]*Table1123245[[#This Row],[h (mm)]]*Table1123245[[#This Row],[L(mm)]])</f>
        <v>3.8999999999999999E-4</v>
      </c>
      <c r="P12" s="8">
        <f>Table1123245[[#This Row],[M (KN.mm)]]/(Table1123245[[#This Row],[b (mm)]]*Table1123245[[#This Row],[d (mm)]]*Table1123245[[#This Row],[L(mm)]])</f>
        <v>4.2162162162162164E-4</v>
      </c>
      <c r="Q12" s="8">
        <f>Table1123245[[#This Row],[M (KN.mm)]]/(Table1123245[[#This Row],[b (mm)]]*Table1123245[[#This Row],[h (mm)]]*Table1123245[[#This Row],[L(mm)]]*Table1123245[[#This Row],[fc (Mpa)]])</f>
        <v>1.0263157894736843E-5</v>
      </c>
      <c r="R12" s="8">
        <f>Table1123245[[#This Row],[M (KN.mm)]]/(Table1123245[[#This Row],[b (mm)]]*Table1123245[[#This Row],[h (mm)]]*Table1123245[[#This Row],[L(mm)]]/2)</f>
        <v>7.7999999999999999E-4</v>
      </c>
      <c r="S12" s="8">
        <f>Table1123245[[#This Row],[M (KN.mm)]]/(Table1123245[[#This Row],[a (mm)]]*Table1123245[[#This Row],[b (mm)]]*Table1123245[[#This Row],[h (mm)]]*Table1123245[[#This Row],[L(mm)]]/2)</f>
        <v>2.888888888888889E-7</v>
      </c>
      <c r="T12" s="8">
        <f>G12/($AN$5*AK12*0.001*Table1123245[[#This Row],[pho (%)]])</f>
        <v>1.0556332175990547E-6</v>
      </c>
      <c r="U12" s="8">
        <f>Table1123245[[#This Row],[M (KN.mm)]]/(Table1123245[[#This Row],[b (mm)]]*Table1123245[[#This Row],[d (mm)]]*Table1123245[[#This Row],[pho (%)]])</f>
        <v>2.5046829007225049</v>
      </c>
      <c r="V12" s="8">
        <f>E12*224.8/(2*SQRT(Table1123245[[#This Row],[fc (Mpa)]]*145.037)*Table1123245[[#This Row],[b (mm)]]*Table1123245[[#This Row],[d (mm)]]*(1/25.4)^2)</f>
        <v>0.91519344875385222</v>
      </c>
      <c r="W12" s="8">
        <f>Table1123245[[#This Row],[M (KN.mm)]]/$G$13</f>
        <v>0.96296296296296291</v>
      </c>
      <c r="X12" s="8">
        <f>E12*224.8/(2*SQRT(Table1123245[[#This Row],[fc (Mpa)]]*145.037)*Table1123245[[#This Row],[b (mm)]]*Table1123245[[#This Row],[d (mm)]]*(1/25.4)^2+Table1123245[[#This Row],[Av fy d/s (N)]]*0.2248)</f>
        <v>0.65807300484919262</v>
      </c>
      <c r="Y12" s="8">
        <v>0.4</v>
      </c>
      <c r="Z12" s="8">
        <f>Table1123245[[#This Row],[Av fy/(b S) (Mpa)]]*Table1123245[[#This Row],[d (mm)]]*Table1123245[[#This Row],[b (mm)]]</f>
        <v>111000</v>
      </c>
      <c r="AA12" s="8">
        <f>Table1123245[[#This Row],[d (mm)]]/300</f>
        <v>3.0833333333333335</v>
      </c>
      <c r="AB12" s="8">
        <f>Table1123245[[#This Row],[a/d]]*Table1123245[[#This Row],[d]]</f>
        <v>2700</v>
      </c>
      <c r="AC12" s="8">
        <f>Table1123245[[#This Row],[d]]</f>
        <v>925</v>
      </c>
      <c r="AD12" s="8">
        <v>1000</v>
      </c>
      <c r="AE12" s="5">
        <v>300</v>
      </c>
      <c r="AF12" s="15">
        <v>38</v>
      </c>
      <c r="AG12" s="8">
        <f>Table1123245[[#This Row],[pho (%)]]/100*Table1123245[[#This Row],[b (mm)]]*Table1123245[[#This Row],[d (mm)]]</f>
        <v>2802.75</v>
      </c>
      <c r="AH12" s="15">
        <v>1.01</v>
      </c>
      <c r="AI12" s="8">
        <v>508</v>
      </c>
      <c r="AJ12" s="8">
        <f>(1/3-0.21*(MIN(Table1123245[[#This Row],[b (mm)]],AD12)/MAX(Table1123245[[#This Row],[b (mm)]],AD12))*(MIN(Table1123245[[#This Row],[b (mm)]],AD12)^4/(12*MAX(Table1123245[[#This Row],[b (mm)]],AD12)^4)))*MAX(Table1123245[[#This Row],[b (mm)]],AD12)*MIN(Table1123245[[#This Row],[b (mm)]],AD12)^3</f>
        <v>8998851825</v>
      </c>
      <c r="AK12" s="8">
        <f>Table1123245[[#This Row],[b (mm)]]*AD12^3/12</f>
        <v>25000000000</v>
      </c>
      <c r="AL12" s="8">
        <v>6000</v>
      </c>
      <c r="AM12" s="12"/>
      <c r="AN12" s="6"/>
    </row>
    <row r="13" spans="1:42" x14ac:dyDescent="0.25">
      <c r="A13" s="67" t="s">
        <v>128</v>
      </c>
      <c r="B13" s="15">
        <v>6</v>
      </c>
      <c r="C13" s="3">
        <v>12</v>
      </c>
      <c r="D13" s="64">
        <f>2700/Table1123245[[#This Row],[d]]</f>
        <v>2.9189189189189189</v>
      </c>
      <c r="E13" s="15">
        <v>270</v>
      </c>
      <c r="F13" s="3">
        <v>925</v>
      </c>
      <c r="G13" s="8">
        <f t="shared" si="4"/>
        <v>729000</v>
      </c>
      <c r="H13" s="8">
        <f t="shared" si="5"/>
        <v>1.1071968401510085E-6</v>
      </c>
      <c r="I13" s="8">
        <f>G13/(Table1123245[[#This Row],[b (mm)]]*AC13^2)</f>
        <v>2.8400292184075967E-3</v>
      </c>
      <c r="J13" s="8">
        <f t="shared" si="6"/>
        <v>0.55352561362898511</v>
      </c>
      <c r="K13" s="8">
        <f t="shared" si="7"/>
        <v>9.5553591523323936E-7</v>
      </c>
      <c r="L13" s="8">
        <f>E13/(Table1123245[[#This Row],[b (mm)]]*AC13)</f>
        <v>9.7297297297297292E-4</v>
      </c>
      <c r="M13" s="8">
        <f>Table1123245[[#This Row],[M (KN.mm)]]/(Table1123245[[#This Row],[b (mm)]]*Table1123245[[#This Row],[d (mm)]])</f>
        <v>2.6270270270270268</v>
      </c>
      <c r="N13" s="8">
        <f>Table1123245[[#This Row],[M (KN.mm)]]/(Table1123245[[#This Row],[b (mm)]]*Table1123245[[#This Row],[h (mm)]])</f>
        <v>2.4300000000000002</v>
      </c>
      <c r="O13" s="8">
        <f>Table1123245[[#This Row],[M (KN.mm)]]/(Table1123245[[#This Row],[b (mm)]]*Table1123245[[#This Row],[h (mm)]]*Table1123245[[#This Row],[L(mm)]])</f>
        <v>4.0499999999999998E-4</v>
      </c>
      <c r="P13" s="8">
        <f>Table1123245[[#This Row],[M (KN.mm)]]/(Table1123245[[#This Row],[b (mm)]]*Table1123245[[#This Row],[d (mm)]]*Table1123245[[#This Row],[L(mm)]])</f>
        <v>4.3783783783783785E-4</v>
      </c>
      <c r="Q13" s="8">
        <f>Table1123245[[#This Row],[M (KN.mm)]]/(Table1123245[[#This Row],[b (mm)]]*Table1123245[[#This Row],[h (mm)]]*Table1123245[[#This Row],[L(mm)]]*Table1123245[[#This Row],[fc (Mpa)]])</f>
        <v>1.0657894736842105E-5</v>
      </c>
      <c r="R13" s="8">
        <f>Table1123245[[#This Row],[M (KN.mm)]]/(Table1123245[[#This Row],[b (mm)]]*Table1123245[[#This Row],[h (mm)]]*Table1123245[[#This Row],[L(mm)]]/2)</f>
        <v>8.0999999999999996E-4</v>
      </c>
      <c r="S13" s="8">
        <f>Table1123245[[#This Row],[M (KN.mm)]]/(Table1123245[[#This Row],[a (mm)]]*Table1123245[[#This Row],[b (mm)]]*Table1123245[[#This Row],[h (mm)]]*Table1123245[[#This Row],[L(mm)]]/2)</f>
        <v>2.9999999999999999E-7</v>
      </c>
      <c r="T13" s="8">
        <f>G13/($AN$5*AK13*0.001*Table1123245[[#This Row],[pho (%)]])</f>
        <v>1.0962344951990183E-6</v>
      </c>
      <c r="U13" s="8">
        <f>Table1123245[[#This Row],[M (KN.mm)]]/(Table1123245[[#This Row],[b (mm)]]*Table1123245[[#This Row],[d (mm)]]*Table1123245[[#This Row],[pho (%)]])</f>
        <v>2.601016858442601</v>
      </c>
      <c r="V13" s="8">
        <f>E13*224.8/(2*SQRT(Table1123245[[#This Row],[fc (Mpa)]]*145.037)*Table1123245[[#This Row],[b (mm)]]*Table1123245[[#This Row],[d (mm)]]*(1/25.4)^2)</f>
        <v>0.95039319678284651</v>
      </c>
      <c r="W13" s="8">
        <f>Table1123245[[#This Row],[M (KN.mm)]]/$G$13</f>
        <v>1</v>
      </c>
      <c r="X13" s="8">
        <f>E13*224.8/(2*SQRT(Table1123245[[#This Row],[fc (Mpa)]]*145.037)*Table1123245[[#This Row],[b (mm)]]*Table1123245[[#This Row],[d (mm)]]*(1/25.4)^2+Table1123245[[#This Row],[Av fy d/s (N)]]*0.2248)</f>
        <v>0.6833835050357</v>
      </c>
      <c r="Y13" s="8">
        <v>0.4</v>
      </c>
      <c r="Z13" s="8">
        <f>Table1123245[[#This Row],[Av fy/(b S) (Mpa)]]*Table1123245[[#This Row],[d (mm)]]*Table1123245[[#This Row],[b (mm)]]</f>
        <v>111000</v>
      </c>
      <c r="AA13" s="8">
        <f>Table1123245[[#This Row],[d (mm)]]/300</f>
        <v>3.0833333333333335</v>
      </c>
      <c r="AB13" s="8">
        <f>Table1123245[[#This Row],[a/d]]*Table1123245[[#This Row],[d]]</f>
        <v>2700</v>
      </c>
      <c r="AC13" s="8">
        <f>Table1123245[[#This Row],[d]]</f>
        <v>925</v>
      </c>
      <c r="AD13" s="8">
        <v>1000</v>
      </c>
      <c r="AE13" s="5">
        <v>300</v>
      </c>
      <c r="AF13" s="15">
        <v>38</v>
      </c>
      <c r="AG13" s="8">
        <f>Table1123245[[#This Row],[pho (%)]]/100*Table1123245[[#This Row],[b (mm)]]*Table1123245[[#This Row],[d (mm)]]</f>
        <v>2802.75</v>
      </c>
      <c r="AH13" s="15">
        <v>1.01</v>
      </c>
      <c r="AI13" s="8">
        <v>508</v>
      </c>
      <c r="AJ13" s="8">
        <f>(1/3-0.21*(MIN(Table1123245[[#This Row],[b (mm)]],AD13)/MAX(Table1123245[[#This Row],[b (mm)]],AD13))*(MIN(Table1123245[[#This Row],[b (mm)]],AD13)^4/(12*MAX(Table1123245[[#This Row],[b (mm)]],AD13)^4)))*MAX(Table1123245[[#This Row],[b (mm)]],AD13)*MIN(Table1123245[[#This Row],[b (mm)]],AD13)^3</f>
        <v>8998851825</v>
      </c>
      <c r="AK13" s="8">
        <f>Table1123245[[#This Row],[b (mm)]]*AD13^3/12</f>
        <v>25000000000</v>
      </c>
      <c r="AL13" s="8">
        <v>6000</v>
      </c>
      <c r="AM13" s="12"/>
      <c r="AN13" s="6"/>
    </row>
    <row r="14" spans="1:42" x14ac:dyDescent="0.25">
      <c r="A14" s="58" t="s">
        <v>129</v>
      </c>
      <c r="B14" s="15">
        <v>1</v>
      </c>
      <c r="C14" s="3">
        <v>13</v>
      </c>
      <c r="D14" s="64">
        <f>2700/Table1123245[[#This Row],[d]]</f>
        <v>2.9189189189189189</v>
      </c>
      <c r="E14" s="15">
        <v>91</v>
      </c>
      <c r="F14" s="3">
        <v>925</v>
      </c>
      <c r="G14" s="8">
        <f t="shared" ref="G14:G23" si="8">E14*AB14</f>
        <v>245700</v>
      </c>
      <c r="H14" s="8">
        <f t="shared" ref="H14:H22" si="9">G14/($AN$5*AK14*0.001)</f>
        <v>3.7316634242126587E-7</v>
      </c>
      <c r="I14" s="8">
        <f>G14/(Table1123245[[#This Row],[b (mm)]]*AC14^2)</f>
        <v>9.5719503287070853E-4</v>
      </c>
      <c r="J14" s="8">
        <f t="shared" ref="J14:J22" si="10">G14/(AG14*AI14*AC14*0.001)</f>
        <v>0.18655863274162091</v>
      </c>
      <c r="K14" s="8">
        <f t="shared" ref="K14:K22" si="11">E14/($AN$4*AJ14*0.001)</f>
        <v>3.2205099365268437E-7</v>
      </c>
      <c r="L14" s="8">
        <f>E14/(Table1123245[[#This Row],[b (mm)]]*AC14)</f>
        <v>3.279279279279279E-4</v>
      </c>
      <c r="M14" s="8">
        <f>Table1123245[[#This Row],[M (KN.mm)]]/(Table1123245[[#This Row],[b (mm)]]*Table1123245[[#This Row],[d (mm)]])</f>
        <v>0.88540540540540535</v>
      </c>
      <c r="N14" s="8">
        <f>Table1123245[[#This Row],[M (KN.mm)]]/(Table1123245[[#This Row],[b (mm)]]*Table1123245[[#This Row],[h (mm)]])</f>
        <v>0.81899999999999995</v>
      </c>
      <c r="O14" s="8">
        <f>Table1123245[[#This Row],[M (KN.mm)]]/(Table1123245[[#This Row],[b (mm)]]*Table1123245[[#This Row],[h (mm)]]*Table1123245[[#This Row],[L(mm)]])</f>
        <v>1.3650000000000001E-4</v>
      </c>
      <c r="P14" s="8">
        <f>Table1123245[[#This Row],[M (KN.mm)]]/(Table1123245[[#This Row],[b (mm)]]*Table1123245[[#This Row],[d (mm)]]*Table1123245[[#This Row],[L(mm)]])</f>
        <v>1.4756756756756758E-4</v>
      </c>
      <c r="Q14" s="8">
        <f>Table1123245[[#This Row],[M (KN.mm)]]/(Table1123245[[#This Row],[b (mm)]]*Table1123245[[#This Row],[h (mm)]]*Table1123245[[#This Row],[L(mm)]]*Table1123245[[#This Row],[fc (Mpa)]])</f>
        <v>2.0999999999999998E-6</v>
      </c>
      <c r="R14" s="8">
        <f>Table1123245[[#This Row],[M (KN.mm)]]/(Table1123245[[#This Row],[b (mm)]]*Table1123245[[#This Row],[h (mm)]]*Table1123245[[#This Row],[L(mm)]]/2)</f>
        <v>2.7300000000000002E-4</v>
      </c>
      <c r="S14" s="8">
        <f>Table1123245[[#This Row],[M (KN.mm)]]/(Table1123245[[#This Row],[a (mm)]]*Table1123245[[#This Row],[b (mm)]]*Table1123245[[#This Row],[h (mm)]]*Table1123245[[#This Row],[L(mm)]]/2)</f>
        <v>1.0111111111111111E-7</v>
      </c>
      <c r="T14" s="8">
        <f>G14/($AN$5*AK14*0.001*Table1123245[[#This Row],[pho (%)]])</f>
        <v>3.6947162615966916E-7</v>
      </c>
      <c r="U14" s="8">
        <f>Table1123245[[#This Row],[M (KN.mm)]]/(Table1123245[[#This Row],[b (mm)]]*Table1123245[[#This Row],[d (mm)]]*Table1123245[[#This Row],[pho (%)]])</f>
        <v>0.87663901525287669</v>
      </c>
      <c r="V14" s="8">
        <f>E14*224.8/(2*SQRT(Table1123245[[#This Row],[fc (Mpa)]]*145.037)*Table1123245[[#This Row],[b (mm)]]*Table1123245[[#This Row],[d (mm)]]*(1/25.4)^2)</f>
        <v>0.24491538480520697</v>
      </c>
      <c r="W14" s="8">
        <f>Table1123245[[#This Row],[M (KN.mm)]]/$G$23</f>
        <v>0.20449438202247192</v>
      </c>
      <c r="X14" s="8">
        <f>E14*224.8/(2*SQRT(Table1123245[[#This Row],[fc (Mpa)]]*145.037)*Table1123245[[#This Row],[b (mm)]]*Table1123245[[#This Row],[d (mm)]]*(1/25.4)^2+Table1123245[[#This Row],[Av fy d/s (N)]]*0.2248)</f>
        <v>0.18857879947044542</v>
      </c>
      <c r="Y14" s="8">
        <v>0.4</v>
      </c>
      <c r="Z14" s="8">
        <f>Table1123245[[#This Row],[Av fy/(b S) (Mpa)]]*Table1123245[[#This Row],[d (mm)]]*Table1123245[[#This Row],[b (mm)]]</f>
        <v>111000</v>
      </c>
      <c r="AA14" s="8">
        <f>Table1123245[[#This Row],[d (mm)]]/300</f>
        <v>3.0833333333333335</v>
      </c>
      <c r="AB14" s="8">
        <f>Table1123245[[#This Row],[a/d]]*Table1123245[[#This Row],[d]]</f>
        <v>2700</v>
      </c>
      <c r="AC14" s="8">
        <f>Table1123245[[#This Row],[d]]</f>
        <v>925</v>
      </c>
      <c r="AD14" s="8">
        <v>1000</v>
      </c>
      <c r="AE14" s="5">
        <v>300</v>
      </c>
      <c r="AF14" s="15">
        <v>65</v>
      </c>
      <c r="AG14" s="8">
        <f>Table1123245[[#This Row],[pho (%)]]/100*Table1123245[[#This Row],[b (mm)]]*Table1123245[[#This Row],[d (mm)]]</f>
        <v>2802.75</v>
      </c>
      <c r="AH14" s="15">
        <v>1.01</v>
      </c>
      <c r="AI14" s="8">
        <v>508</v>
      </c>
      <c r="AJ14" s="8">
        <f>(1/3-0.21*(MIN(Table1123245[[#This Row],[b (mm)]],AD14)/MAX(Table1123245[[#This Row],[b (mm)]],AD14))*(MIN(Table1123245[[#This Row],[b (mm)]],AD14)^4/(12*MAX(Table1123245[[#This Row],[b (mm)]],AD14)^4)))*MAX(Table1123245[[#This Row],[b (mm)]],AD14)*MIN(Table1123245[[#This Row],[b (mm)]],AD14)^3</f>
        <v>8998851825</v>
      </c>
      <c r="AK14" s="8">
        <f>Table1123245[[#This Row],[b (mm)]]*AD14^3/12</f>
        <v>25000000000</v>
      </c>
      <c r="AL14" s="8">
        <v>6000</v>
      </c>
      <c r="AM14" s="12"/>
      <c r="AN14" s="6"/>
    </row>
    <row r="15" spans="1:42" x14ac:dyDescent="0.25">
      <c r="A15" s="58" t="s">
        <v>129</v>
      </c>
      <c r="B15" s="15">
        <v>2</v>
      </c>
      <c r="C15" s="3">
        <v>14</v>
      </c>
      <c r="D15" s="64">
        <f>2700/Table1123245[[#This Row],[d]]</f>
        <v>2.9189189189189189</v>
      </c>
      <c r="E15" s="15">
        <v>125</v>
      </c>
      <c r="F15" s="3">
        <v>925</v>
      </c>
      <c r="G15" s="8">
        <f t="shared" si="8"/>
        <v>337500</v>
      </c>
      <c r="H15" s="8">
        <f t="shared" si="9"/>
        <v>5.1259112969954098E-7</v>
      </c>
      <c r="I15" s="8">
        <f>G15/(Table1123245[[#This Row],[b (mm)]]*AC15^2)</f>
        <v>1.314828341855369E-3</v>
      </c>
      <c r="J15" s="8">
        <f t="shared" si="10"/>
        <v>0.25626185816156716</v>
      </c>
      <c r="K15" s="8">
        <f t="shared" si="11"/>
        <v>4.4237773853390712E-7</v>
      </c>
      <c r="L15" s="8">
        <f>E15/(Table1123245[[#This Row],[b (mm)]]*AC15)</f>
        <v>4.5045045045045046E-4</v>
      </c>
      <c r="M15" s="8">
        <f>Table1123245[[#This Row],[M (KN.mm)]]/(Table1123245[[#This Row],[b (mm)]]*Table1123245[[#This Row],[d (mm)]])</f>
        <v>1.2162162162162162</v>
      </c>
      <c r="N15" s="8">
        <f>Table1123245[[#This Row],[M (KN.mm)]]/(Table1123245[[#This Row],[b (mm)]]*Table1123245[[#This Row],[h (mm)]])</f>
        <v>1.125</v>
      </c>
      <c r="O15" s="8">
        <f>Table1123245[[#This Row],[M (KN.mm)]]/(Table1123245[[#This Row],[b (mm)]]*Table1123245[[#This Row],[h (mm)]]*Table1123245[[#This Row],[L(mm)]])</f>
        <v>1.875E-4</v>
      </c>
      <c r="P15" s="8">
        <f>Table1123245[[#This Row],[M (KN.mm)]]/(Table1123245[[#This Row],[b (mm)]]*Table1123245[[#This Row],[d (mm)]]*Table1123245[[#This Row],[L(mm)]])</f>
        <v>2.0270270270270269E-4</v>
      </c>
      <c r="Q15" s="8">
        <f>Table1123245[[#This Row],[M (KN.mm)]]/(Table1123245[[#This Row],[b (mm)]]*Table1123245[[#This Row],[h (mm)]]*Table1123245[[#This Row],[L(mm)]]*Table1123245[[#This Row],[fc (Mpa)]])</f>
        <v>2.8846153846153845E-6</v>
      </c>
      <c r="R15" s="8">
        <f>Table1123245[[#This Row],[M (KN.mm)]]/(Table1123245[[#This Row],[b (mm)]]*Table1123245[[#This Row],[h (mm)]]*Table1123245[[#This Row],[L(mm)]]/2)</f>
        <v>3.7500000000000001E-4</v>
      </c>
      <c r="S15" s="8">
        <f>Table1123245[[#This Row],[M (KN.mm)]]/(Table1123245[[#This Row],[a (mm)]]*Table1123245[[#This Row],[b (mm)]]*Table1123245[[#This Row],[h (mm)]]*Table1123245[[#This Row],[L(mm)]]/2)</f>
        <v>1.3888888888888888E-7</v>
      </c>
      <c r="T15" s="8">
        <f>G15/($AN$5*AK15*0.001*Table1123245[[#This Row],[pho (%)]])</f>
        <v>5.0751596999954549E-7</v>
      </c>
      <c r="U15" s="8">
        <f>Table1123245[[#This Row],[M (KN.mm)]]/(Table1123245[[#This Row],[b (mm)]]*Table1123245[[#This Row],[d (mm)]]*Table1123245[[#This Row],[pho (%)]])</f>
        <v>1.2041744715012042</v>
      </c>
      <c r="V15" s="8">
        <f>E15*224.8/(2*SQRT(Table1123245[[#This Row],[fc (Mpa)]]*145.037)*Table1123245[[#This Row],[b (mm)]]*Table1123245[[#This Row],[d (mm)]]*(1/25.4)^2)</f>
        <v>0.33642223187528431</v>
      </c>
      <c r="W15" s="8">
        <f>Table1123245[[#This Row],[M (KN.mm)]]/$G$23</f>
        <v>0.2808988764044944</v>
      </c>
      <c r="X15" s="8">
        <f>E15*224.8/(2*SQRT(Table1123245[[#This Row],[fc (Mpa)]]*145.037)*Table1123245[[#This Row],[b (mm)]]*Table1123245[[#This Row],[d (mm)]]*(1/25.4)^2+Table1123245[[#This Row],[Av fy d/s (N)]]*0.2248)</f>
        <v>0.25903681245940308</v>
      </c>
      <c r="Y15" s="8">
        <v>0.4</v>
      </c>
      <c r="Z15" s="8">
        <f>Table1123245[[#This Row],[Av fy/(b S) (Mpa)]]*Table1123245[[#This Row],[d (mm)]]*Table1123245[[#This Row],[b (mm)]]</f>
        <v>111000</v>
      </c>
      <c r="AA15" s="8">
        <f>Table1123245[[#This Row],[d (mm)]]/300</f>
        <v>3.0833333333333335</v>
      </c>
      <c r="AB15" s="8">
        <f>Table1123245[[#This Row],[a/d]]*Table1123245[[#This Row],[d]]</f>
        <v>2700</v>
      </c>
      <c r="AC15" s="8">
        <f>Table1123245[[#This Row],[d]]</f>
        <v>925</v>
      </c>
      <c r="AD15" s="8">
        <v>1000</v>
      </c>
      <c r="AE15" s="5">
        <v>300</v>
      </c>
      <c r="AF15" s="15">
        <v>65</v>
      </c>
      <c r="AG15" s="8">
        <f>Table1123245[[#This Row],[pho (%)]]/100*Table1123245[[#This Row],[b (mm)]]*Table1123245[[#This Row],[d (mm)]]</f>
        <v>2802.75</v>
      </c>
      <c r="AH15" s="15">
        <v>1.01</v>
      </c>
      <c r="AI15" s="8">
        <v>508</v>
      </c>
      <c r="AJ15" s="8">
        <f>(1/3-0.21*(MIN(Table1123245[[#This Row],[b (mm)]],AD15)/MAX(Table1123245[[#This Row],[b (mm)]],AD15))*(MIN(Table1123245[[#This Row],[b (mm)]],AD15)^4/(12*MAX(Table1123245[[#This Row],[b (mm)]],AD15)^4)))*MAX(Table1123245[[#This Row],[b (mm)]],AD15)*MIN(Table1123245[[#This Row],[b (mm)]],AD15)^3</f>
        <v>8998851825</v>
      </c>
      <c r="AK15" s="8">
        <f>Table1123245[[#This Row],[b (mm)]]*AD15^3/12</f>
        <v>25000000000</v>
      </c>
      <c r="AL15" s="8">
        <v>6000</v>
      </c>
      <c r="AM15" s="12"/>
      <c r="AN15" s="6"/>
    </row>
    <row r="16" spans="1:42" x14ac:dyDescent="0.25">
      <c r="A16" s="58" t="s">
        <v>129</v>
      </c>
      <c r="B16" s="15">
        <v>3</v>
      </c>
      <c r="C16" s="3">
        <v>15</v>
      </c>
      <c r="D16" s="64">
        <f>2700/Table1123245[[#This Row],[d]]</f>
        <v>2.9189189189189189</v>
      </c>
      <c r="E16" s="15">
        <v>175</v>
      </c>
      <c r="F16" s="3">
        <v>925</v>
      </c>
      <c r="G16" s="8">
        <f t="shared" si="8"/>
        <v>472500</v>
      </c>
      <c r="H16" s="8">
        <f t="shared" si="9"/>
        <v>7.1762758157935742E-7</v>
      </c>
      <c r="I16" s="8">
        <f>G16/(Table1123245[[#This Row],[b (mm)]]*AC16^2)</f>
        <v>1.8407596785975165E-3</v>
      </c>
      <c r="J16" s="8">
        <f t="shared" si="10"/>
        <v>0.35876660142619404</v>
      </c>
      <c r="K16" s="8">
        <f t="shared" si="11"/>
        <v>6.1932883394746991E-7</v>
      </c>
      <c r="L16" s="8">
        <f>E16/(Table1123245[[#This Row],[b (mm)]]*AC16)</f>
        <v>6.3063063063063059E-4</v>
      </c>
      <c r="M16" s="8">
        <f>Table1123245[[#This Row],[M (KN.mm)]]/(Table1123245[[#This Row],[b (mm)]]*Table1123245[[#This Row],[d (mm)]])</f>
        <v>1.7027027027027026</v>
      </c>
      <c r="N16" s="8">
        <f>Table1123245[[#This Row],[M (KN.mm)]]/(Table1123245[[#This Row],[b (mm)]]*Table1123245[[#This Row],[h (mm)]])</f>
        <v>1.575</v>
      </c>
      <c r="O16" s="8">
        <f>Table1123245[[#This Row],[M (KN.mm)]]/(Table1123245[[#This Row],[b (mm)]]*Table1123245[[#This Row],[h (mm)]]*Table1123245[[#This Row],[L(mm)]])</f>
        <v>2.6249999999999998E-4</v>
      </c>
      <c r="P16" s="8">
        <f>Table1123245[[#This Row],[M (KN.mm)]]/(Table1123245[[#This Row],[b (mm)]]*Table1123245[[#This Row],[d (mm)]]*Table1123245[[#This Row],[L(mm)]])</f>
        <v>2.8378378378378377E-4</v>
      </c>
      <c r="Q16" s="8">
        <f>Table1123245[[#This Row],[M (KN.mm)]]/(Table1123245[[#This Row],[b (mm)]]*Table1123245[[#This Row],[h (mm)]]*Table1123245[[#This Row],[L(mm)]]*Table1123245[[#This Row],[fc (Mpa)]])</f>
        <v>4.0384615384615385E-6</v>
      </c>
      <c r="R16" s="8">
        <f>Table1123245[[#This Row],[M (KN.mm)]]/(Table1123245[[#This Row],[b (mm)]]*Table1123245[[#This Row],[h (mm)]]*Table1123245[[#This Row],[L(mm)]]/2)</f>
        <v>5.2499999999999997E-4</v>
      </c>
      <c r="S16" s="8">
        <f>Table1123245[[#This Row],[M (KN.mm)]]/(Table1123245[[#This Row],[a (mm)]]*Table1123245[[#This Row],[b (mm)]]*Table1123245[[#This Row],[h (mm)]]*Table1123245[[#This Row],[L(mm)]]/2)</f>
        <v>1.9444444444444445E-7</v>
      </c>
      <c r="T16" s="8">
        <f>G16/($AN$5*AK16*0.001*Table1123245[[#This Row],[pho (%)]])</f>
        <v>7.1052235799936379E-7</v>
      </c>
      <c r="U16" s="8">
        <f>Table1123245[[#This Row],[M (KN.mm)]]/(Table1123245[[#This Row],[b (mm)]]*Table1123245[[#This Row],[d (mm)]]*Table1123245[[#This Row],[pho (%)]])</f>
        <v>1.6858442601016859</v>
      </c>
      <c r="V16" s="8">
        <f>E16*224.8/(2*SQRT(Table1123245[[#This Row],[fc (Mpa)]]*145.037)*Table1123245[[#This Row],[b (mm)]]*Table1123245[[#This Row],[d (mm)]]*(1/25.4)^2)</f>
        <v>0.47099112462539805</v>
      </c>
      <c r="W16" s="8">
        <f>Table1123245[[#This Row],[M (KN.mm)]]/$G$23</f>
        <v>0.39325842696629215</v>
      </c>
      <c r="X16" s="8">
        <f>E16*224.8/(2*SQRT(Table1123245[[#This Row],[fc (Mpa)]]*145.037)*Table1123245[[#This Row],[b (mm)]]*Table1123245[[#This Row],[d (mm)]]*(1/25.4)^2+Table1123245[[#This Row],[Av fy d/s (N)]]*0.2248)</f>
        <v>0.36265153744316431</v>
      </c>
      <c r="Y16" s="8">
        <v>0.4</v>
      </c>
      <c r="Z16" s="8">
        <f>Table1123245[[#This Row],[Av fy/(b S) (Mpa)]]*Table1123245[[#This Row],[d (mm)]]*Table1123245[[#This Row],[b (mm)]]</f>
        <v>111000</v>
      </c>
      <c r="AA16" s="8">
        <f>Table1123245[[#This Row],[d (mm)]]/300</f>
        <v>3.0833333333333335</v>
      </c>
      <c r="AB16" s="8">
        <f>Table1123245[[#This Row],[a/d]]*Table1123245[[#This Row],[d]]</f>
        <v>2700</v>
      </c>
      <c r="AC16" s="8">
        <f>Table1123245[[#This Row],[d]]</f>
        <v>925</v>
      </c>
      <c r="AD16" s="8">
        <v>1000</v>
      </c>
      <c r="AE16" s="5">
        <v>300</v>
      </c>
      <c r="AF16" s="15">
        <v>65</v>
      </c>
      <c r="AG16" s="8">
        <f>Table1123245[[#This Row],[pho (%)]]/100*Table1123245[[#This Row],[b (mm)]]*Table1123245[[#This Row],[d (mm)]]</f>
        <v>2802.75</v>
      </c>
      <c r="AH16" s="15">
        <v>1.01</v>
      </c>
      <c r="AI16" s="8">
        <v>508</v>
      </c>
      <c r="AJ16" s="8">
        <f>(1/3-0.21*(MIN(Table1123245[[#This Row],[b (mm)]],AD16)/MAX(Table1123245[[#This Row],[b (mm)]],AD16))*(MIN(Table1123245[[#This Row],[b (mm)]],AD16)^4/(12*MAX(Table1123245[[#This Row],[b (mm)]],AD16)^4)))*MAX(Table1123245[[#This Row],[b (mm)]],AD16)*MIN(Table1123245[[#This Row],[b (mm)]],AD16)^3</f>
        <v>8998851825</v>
      </c>
      <c r="AK16" s="8">
        <f>Table1123245[[#This Row],[b (mm)]]*AD16^3/12</f>
        <v>25000000000</v>
      </c>
      <c r="AL16" s="8">
        <v>6000</v>
      </c>
      <c r="AM16" s="12"/>
      <c r="AN16" s="6"/>
    </row>
    <row r="17" spans="1:42" x14ac:dyDescent="0.25">
      <c r="A17" s="58" t="s">
        <v>129</v>
      </c>
      <c r="B17" s="15">
        <v>4</v>
      </c>
      <c r="C17" s="3">
        <v>16</v>
      </c>
      <c r="D17" s="64">
        <f>2700/Table1123245[[#This Row],[d]]</f>
        <v>2.9189189189189189</v>
      </c>
      <c r="E17" s="15">
        <v>225</v>
      </c>
      <c r="F17" s="3">
        <v>925</v>
      </c>
      <c r="G17" s="8">
        <f t="shared" si="8"/>
        <v>607500</v>
      </c>
      <c r="H17" s="8">
        <f t="shared" si="9"/>
        <v>9.2266403345917386E-7</v>
      </c>
      <c r="I17" s="8">
        <f>G17/(Table1123245[[#This Row],[b (mm)]]*AC17^2)</f>
        <v>2.3666910153396642E-3</v>
      </c>
      <c r="J17" s="8">
        <f t="shared" si="10"/>
        <v>0.46127134469082087</v>
      </c>
      <c r="K17" s="8">
        <f t="shared" si="11"/>
        <v>7.962799293610328E-7</v>
      </c>
      <c r="L17" s="8">
        <f>E17/(Table1123245[[#This Row],[b (mm)]]*AC17)</f>
        <v>8.1081081081081077E-4</v>
      </c>
      <c r="M17" s="8">
        <f>Table1123245[[#This Row],[M (KN.mm)]]/(Table1123245[[#This Row],[b (mm)]]*Table1123245[[#This Row],[d (mm)]])</f>
        <v>2.189189189189189</v>
      </c>
      <c r="N17" s="8">
        <f>Table1123245[[#This Row],[M (KN.mm)]]/(Table1123245[[#This Row],[b (mm)]]*Table1123245[[#This Row],[h (mm)]])</f>
        <v>2.0249999999999999</v>
      </c>
      <c r="O17" s="8">
        <f>Table1123245[[#This Row],[M (KN.mm)]]/(Table1123245[[#This Row],[b (mm)]]*Table1123245[[#This Row],[h (mm)]]*Table1123245[[#This Row],[L(mm)]])</f>
        <v>3.3750000000000002E-4</v>
      </c>
      <c r="P17" s="8">
        <f>Table1123245[[#This Row],[M (KN.mm)]]/(Table1123245[[#This Row],[b (mm)]]*Table1123245[[#This Row],[d (mm)]]*Table1123245[[#This Row],[L(mm)]])</f>
        <v>3.6486486486486485E-4</v>
      </c>
      <c r="Q17" s="8">
        <f>Table1123245[[#This Row],[M (KN.mm)]]/(Table1123245[[#This Row],[b (mm)]]*Table1123245[[#This Row],[h (mm)]]*Table1123245[[#This Row],[L(mm)]]*Table1123245[[#This Row],[fc (Mpa)]])</f>
        <v>5.1923076923076921E-6</v>
      </c>
      <c r="R17" s="8">
        <f>Table1123245[[#This Row],[M (KN.mm)]]/(Table1123245[[#This Row],[b (mm)]]*Table1123245[[#This Row],[h (mm)]]*Table1123245[[#This Row],[L(mm)]]/2)</f>
        <v>6.7500000000000004E-4</v>
      </c>
      <c r="S17" s="8">
        <f>Table1123245[[#This Row],[M (KN.mm)]]/(Table1123245[[#This Row],[a (mm)]]*Table1123245[[#This Row],[b (mm)]]*Table1123245[[#This Row],[h (mm)]]*Table1123245[[#This Row],[L(mm)]]/2)</f>
        <v>2.4999999999999999E-7</v>
      </c>
      <c r="T17" s="8">
        <f>G17/($AN$5*AK17*0.001*Table1123245[[#This Row],[pho (%)]])</f>
        <v>9.1352874599918198E-7</v>
      </c>
      <c r="U17" s="8">
        <f>Table1123245[[#This Row],[M (KN.mm)]]/(Table1123245[[#This Row],[b (mm)]]*Table1123245[[#This Row],[d (mm)]]*Table1123245[[#This Row],[pho (%)]])</f>
        <v>2.1675140487021674</v>
      </c>
      <c r="V17" s="8">
        <f>E17*224.8/(2*SQRT(Table1123245[[#This Row],[fc (Mpa)]]*145.037)*Table1123245[[#This Row],[b (mm)]]*Table1123245[[#This Row],[d (mm)]]*(1/25.4)^2)</f>
        <v>0.60556001737551179</v>
      </c>
      <c r="W17" s="8">
        <f>Table1123245[[#This Row],[M (KN.mm)]]/$G$23</f>
        <v>0.5056179775280899</v>
      </c>
      <c r="X17" s="8">
        <f>E17*224.8/(2*SQRT(Table1123245[[#This Row],[fc (Mpa)]]*145.037)*Table1123245[[#This Row],[b (mm)]]*Table1123245[[#This Row],[d (mm)]]*(1/25.4)^2+Table1123245[[#This Row],[Av fy d/s (N)]]*0.2248)</f>
        <v>0.46626626242692554</v>
      </c>
      <c r="Y17" s="8">
        <v>0.4</v>
      </c>
      <c r="Z17" s="8">
        <f>Table1123245[[#This Row],[Av fy/(b S) (Mpa)]]*Table1123245[[#This Row],[d (mm)]]*Table1123245[[#This Row],[b (mm)]]</f>
        <v>111000</v>
      </c>
      <c r="AA17" s="8">
        <f>Table1123245[[#This Row],[d (mm)]]/300</f>
        <v>3.0833333333333335</v>
      </c>
      <c r="AB17" s="8">
        <f>Table1123245[[#This Row],[a/d]]*Table1123245[[#This Row],[d]]</f>
        <v>2700</v>
      </c>
      <c r="AC17" s="8">
        <f>Table1123245[[#This Row],[d]]</f>
        <v>925</v>
      </c>
      <c r="AD17" s="8">
        <v>1000</v>
      </c>
      <c r="AE17" s="5">
        <v>300</v>
      </c>
      <c r="AF17" s="15">
        <v>65</v>
      </c>
      <c r="AG17" s="8">
        <f>Table1123245[[#This Row],[pho (%)]]/100*Table1123245[[#This Row],[b (mm)]]*Table1123245[[#This Row],[d (mm)]]</f>
        <v>2802.75</v>
      </c>
      <c r="AH17" s="15">
        <v>1.01</v>
      </c>
      <c r="AI17" s="8">
        <v>508</v>
      </c>
      <c r="AJ17" s="8">
        <f>(1/3-0.21*(MIN(Table1123245[[#This Row],[b (mm)]],AD17)/MAX(Table1123245[[#This Row],[b (mm)]],AD17))*(MIN(Table1123245[[#This Row],[b (mm)]],AD17)^4/(12*MAX(Table1123245[[#This Row],[b (mm)]],AD17)^4)))*MAX(Table1123245[[#This Row],[b (mm)]],AD17)*MIN(Table1123245[[#This Row],[b (mm)]],AD17)^3</f>
        <v>8998851825</v>
      </c>
      <c r="AK17" s="8">
        <f>Table1123245[[#This Row],[b (mm)]]*AD17^3/12</f>
        <v>25000000000</v>
      </c>
      <c r="AL17" s="8">
        <v>6000</v>
      </c>
      <c r="AM17" s="12"/>
      <c r="AN17" s="6"/>
    </row>
    <row r="18" spans="1:42" s="10" customFormat="1" x14ac:dyDescent="0.25">
      <c r="A18" s="58" t="s">
        <v>129</v>
      </c>
      <c r="B18" s="15">
        <v>5</v>
      </c>
      <c r="C18" s="3">
        <v>17</v>
      </c>
      <c r="D18" s="64">
        <f>2700/Table1123245[[#This Row],[d]]</f>
        <v>2.9189189189189189</v>
      </c>
      <c r="E18" s="15">
        <v>260</v>
      </c>
      <c r="F18" s="3">
        <v>925</v>
      </c>
      <c r="G18" s="8">
        <f t="shared" si="8"/>
        <v>702000</v>
      </c>
      <c r="H18" s="8">
        <f t="shared" si="9"/>
        <v>1.0661895497750453E-6</v>
      </c>
      <c r="I18" s="8">
        <f>G18/(Table1123245[[#This Row],[b (mm)]]*AC18^2)</f>
        <v>2.7348429510591671E-3</v>
      </c>
      <c r="J18" s="8">
        <f t="shared" si="10"/>
        <v>0.53302466497605971</v>
      </c>
      <c r="K18" s="8">
        <f t="shared" si="11"/>
        <v>9.201456961505268E-7</v>
      </c>
      <c r="L18" s="8">
        <f>E18/(Table1123245[[#This Row],[b (mm)]]*AC18)</f>
        <v>9.3693693693693697E-4</v>
      </c>
      <c r="M18" s="8">
        <f>Table1123245[[#This Row],[M (KN.mm)]]/(Table1123245[[#This Row],[b (mm)]]*Table1123245[[#This Row],[d (mm)]])</f>
        <v>2.5297297297297296</v>
      </c>
      <c r="N18" s="8">
        <f>Table1123245[[#This Row],[M (KN.mm)]]/(Table1123245[[#This Row],[b (mm)]]*Table1123245[[#This Row],[h (mm)]])</f>
        <v>2.34</v>
      </c>
      <c r="O18" s="8">
        <f>Table1123245[[#This Row],[M (KN.mm)]]/(Table1123245[[#This Row],[b (mm)]]*Table1123245[[#This Row],[h (mm)]]*Table1123245[[#This Row],[L(mm)]])</f>
        <v>3.8999999999999999E-4</v>
      </c>
      <c r="P18" s="8">
        <f>Table1123245[[#This Row],[M (KN.mm)]]/(Table1123245[[#This Row],[b (mm)]]*Table1123245[[#This Row],[d (mm)]]*Table1123245[[#This Row],[L(mm)]])</f>
        <v>4.2162162162162164E-4</v>
      </c>
      <c r="Q18" s="8">
        <f>Table1123245[[#This Row],[M (KN.mm)]]/(Table1123245[[#This Row],[b (mm)]]*Table1123245[[#This Row],[h (mm)]]*Table1123245[[#This Row],[L(mm)]]*Table1123245[[#This Row],[fc (Mpa)]])</f>
        <v>6.0000000000000002E-6</v>
      </c>
      <c r="R18" s="8">
        <f>Table1123245[[#This Row],[M (KN.mm)]]/(Table1123245[[#This Row],[b (mm)]]*Table1123245[[#This Row],[h (mm)]]*Table1123245[[#This Row],[L(mm)]]/2)</f>
        <v>7.7999999999999999E-4</v>
      </c>
      <c r="S18" s="8">
        <f>Table1123245[[#This Row],[M (KN.mm)]]/(Table1123245[[#This Row],[a (mm)]]*Table1123245[[#This Row],[b (mm)]]*Table1123245[[#This Row],[h (mm)]]*Table1123245[[#This Row],[L(mm)]]/2)</f>
        <v>2.888888888888889E-7</v>
      </c>
      <c r="T18" s="8">
        <f>G18/($AN$5*AK18*0.001*Table1123245[[#This Row],[pho (%)]])</f>
        <v>1.0556332175990547E-6</v>
      </c>
      <c r="U18" s="8">
        <f>Table1123245[[#This Row],[M (KN.mm)]]/(Table1123245[[#This Row],[b (mm)]]*Table1123245[[#This Row],[d (mm)]]*Table1123245[[#This Row],[pho (%)]])</f>
        <v>2.5046829007225049</v>
      </c>
      <c r="V18" s="8">
        <f>E18*224.8/(2*SQRT(Table1123245[[#This Row],[fc (Mpa)]]*145.037)*Table1123245[[#This Row],[b (mm)]]*Table1123245[[#This Row],[d (mm)]]*(1/25.4)^2)</f>
        <v>0.69975824230059136</v>
      </c>
      <c r="W18" s="8">
        <f>Table1123245[[#This Row],[M (KN.mm)]]/$G$23</f>
        <v>0.5842696629213483</v>
      </c>
      <c r="X18" s="8">
        <f>E18*224.8/(2*SQRT(Table1123245[[#This Row],[fc (Mpa)]]*145.037)*Table1123245[[#This Row],[b (mm)]]*Table1123245[[#This Row],[d (mm)]]*(1/25.4)^2+Table1123245[[#This Row],[Av fy d/s (N)]]*0.2248)</f>
        <v>0.53879656991555835</v>
      </c>
      <c r="Y18" s="8">
        <v>0.4</v>
      </c>
      <c r="Z18" s="8">
        <f>Table1123245[[#This Row],[Av fy/(b S) (Mpa)]]*Table1123245[[#This Row],[d (mm)]]*Table1123245[[#This Row],[b (mm)]]</f>
        <v>111000</v>
      </c>
      <c r="AA18" s="8">
        <f>Table1123245[[#This Row],[d (mm)]]/300</f>
        <v>3.0833333333333335</v>
      </c>
      <c r="AB18" s="8">
        <f>Table1123245[[#This Row],[a/d]]*Table1123245[[#This Row],[d]]</f>
        <v>2700</v>
      </c>
      <c r="AC18" s="8">
        <f>Table1123245[[#This Row],[d]]</f>
        <v>925</v>
      </c>
      <c r="AD18" s="8">
        <v>1000</v>
      </c>
      <c r="AE18" s="5">
        <v>300</v>
      </c>
      <c r="AF18" s="15">
        <v>65</v>
      </c>
      <c r="AG18" s="8">
        <f>Table1123245[[#This Row],[pho (%)]]/100*Table1123245[[#This Row],[b (mm)]]*Table1123245[[#This Row],[d (mm)]]</f>
        <v>2802.75</v>
      </c>
      <c r="AH18" s="15">
        <v>1.01</v>
      </c>
      <c r="AI18" s="8">
        <v>508</v>
      </c>
      <c r="AJ18" s="8">
        <f>(1/3-0.21*(MIN(Table1123245[[#This Row],[b (mm)]],AD18)/MAX(Table1123245[[#This Row],[b (mm)]],AD18))*(MIN(Table1123245[[#This Row],[b (mm)]],AD18)^4/(12*MAX(Table1123245[[#This Row],[b (mm)]],AD18)^4)))*MAX(Table1123245[[#This Row],[b (mm)]],AD18)*MIN(Table1123245[[#This Row],[b (mm)]],AD18)^3</f>
        <v>8998851825</v>
      </c>
      <c r="AK18" s="8">
        <f>Table1123245[[#This Row],[b (mm)]]*AD18^3/12</f>
        <v>25000000000</v>
      </c>
      <c r="AL18" s="8">
        <v>6000</v>
      </c>
      <c r="AM18" s="12"/>
      <c r="AN18" s="9"/>
      <c r="AO18" s="12"/>
      <c r="AP18" s="1"/>
    </row>
    <row r="19" spans="1:42" s="10" customFormat="1" x14ac:dyDescent="0.25">
      <c r="A19" s="58" t="s">
        <v>129</v>
      </c>
      <c r="B19" s="15">
        <v>6</v>
      </c>
      <c r="C19" s="3">
        <v>18</v>
      </c>
      <c r="D19" s="64">
        <f>2700/Table1123245[[#This Row],[d]]</f>
        <v>2.9189189189189189</v>
      </c>
      <c r="E19" s="15">
        <v>300</v>
      </c>
      <c r="F19" s="3">
        <v>925</v>
      </c>
      <c r="G19" s="8">
        <f t="shared" si="8"/>
        <v>810000</v>
      </c>
      <c r="H19" s="8">
        <f t="shared" si="9"/>
        <v>1.2302187112788984E-6</v>
      </c>
      <c r="I19" s="8">
        <f>G19/(Table1123245[[#This Row],[b (mm)]]*AC19^2)</f>
        <v>3.1555880204528854E-3</v>
      </c>
      <c r="J19" s="8">
        <f t="shared" si="10"/>
        <v>0.6150284595877612</v>
      </c>
      <c r="K19" s="8">
        <f t="shared" si="11"/>
        <v>1.0617065724813771E-6</v>
      </c>
      <c r="L19" s="8">
        <f>E19/(Table1123245[[#This Row],[b (mm)]]*AC19)</f>
        <v>1.0810810810810811E-3</v>
      </c>
      <c r="M19" s="8">
        <f>Table1123245[[#This Row],[M (KN.mm)]]/(Table1123245[[#This Row],[b (mm)]]*Table1123245[[#This Row],[d (mm)]])</f>
        <v>2.9189189189189189</v>
      </c>
      <c r="N19" s="8">
        <f>Table1123245[[#This Row],[M (KN.mm)]]/(Table1123245[[#This Row],[b (mm)]]*Table1123245[[#This Row],[h (mm)]])</f>
        <v>2.7</v>
      </c>
      <c r="O19" s="8">
        <f>Table1123245[[#This Row],[M (KN.mm)]]/(Table1123245[[#This Row],[b (mm)]]*Table1123245[[#This Row],[h (mm)]]*Table1123245[[#This Row],[L(mm)]])</f>
        <v>4.4999999999999999E-4</v>
      </c>
      <c r="P19" s="8">
        <f>Table1123245[[#This Row],[M (KN.mm)]]/(Table1123245[[#This Row],[b (mm)]]*Table1123245[[#This Row],[d (mm)]]*Table1123245[[#This Row],[L(mm)]])</f>
        <v>4.8648648648648646E-4</v>
      </c>
      <c r="Q19" s="8">
        <f>Table1123245[[#This Row],[M (KN.mm)]]/(Table1123245[[#This Row],[b (mm)]]*Table1123245[[#This Row],[h (mm)]]*Table1123245[[#This Row],[L(mm)]]*Table1123245[[#This Row],[fc (Mpa)]])</f>
        <v>6.9230769230769234E-6</v>
      </c>
      <c r="R19" s="8">
        <f>Table1123245[[#This Row],[M (KN.mm)]]/(Table1123245[[#This Row],[b (mm)]]*Table1123245[[#This Row],[h (mm)]]*Table1123245[[#This Row],[L(mm)]]/2)</f>
        <v>8.9999999999999998E-4</v>
      </c>
      <c r="S19" s="8">
        <f>Table1123245[[#This Row],[M (KN.mm)]]/(Table1123245[[#This Row],[a (mm)]]*Table1123245[[#This Row],[b (mm)]]*Table1123245[[#This Row],[h (mm)]]*Table1123245[[#This Row],[L(mm)]]/2)</f>
        <v>3.3333333333333335E-7</v>
      </c>
      <c r="T19" s="8">
        <f>G19/($AN$5*AK19*0.001*Table1123245[[#This Row],[pho (%)]])</f>
        <v>1.2180383279989094E-6</v>
      </c>
      <c r="U19" s="8">
        <f>Table1123245[[#This Row],[M (KN.mm)]]/(Table1123245[[#This Row],[b (mm)]]*Table1123245[[#This Row],[d (mm)]]*Table1123245[[#This Row],[pho (%)]])</f>
        <v>2.8900187316028898</v>
      </c>
      <c r="V19" s="8">
        <f>E19*224.8/(2*SQRT(Table1123245[[#This Row],[fc (Mpa)]]*145.037)*Table1123245[[#This Row],[b (mm)]]*Table1123245[[#This Row],[d (mm)]]*(1/25.4)^2)</f>
        <v>0.80741335650068236</v>
      </c>
      <c r="W19" s="8">
        <f>Table1123245[[#This Row],[M (KN.mm)]]/$G$23</f>
        <v>0.6741573033707865</v>
      </c>
      <c r="X19" s="8">
        <f>E19*224.8/(2*SQRT(Table1123245[[#This Row],[fc (Mpa)]]*145.037)*Table1123245[[#This Row],[b (mm)]]*Table1123245[[#This Row],[d (mm)]]*(1/25.4)^2+Table1123245[[#This Row],[Av fy d/s (N)]]*0.2248)</f>
        <v>0.62168834990256738</v>
      </c>
      <c r="Y19" s="8">
        <v>0.4</v>
      </c>
      <c r="Z19" s="8">
        <f>Table1123245[[#This Row],[Av fy/(b S) (Mpa)]]*Table1123245[[#This Row],[d (mm)]]*Table1123245[[#This Row],[b (mm)]]</f>
        <v>111000</v>
      </c>
      <c r="AA19" s="8">
        <f>Table1123245[[#This Row],[d (mm)]]/300</f>
        <v>3.0833333333333335</v>
      </c>
      <c r="AB19" s="8">
        <f>Table1123245[[#This Row],[a/d]]*Table1123245[[#This Row],[d]]</f>
        <v>2700</v>
      </c>
      <c r="AC19" s="8">
        <f>Table1123245[[#This Row],[d]]</f>
        <v>925</v>
      </c>
      <c r="AD19" s="8">
        <v>1000</v>
      </c>
      <c r="AE19" s="5">
        <v>300</v>
      </c>
      <c r="AF19" s="15">
        <v>65</v>
      </c>
      <c r="AG19" s="8">
        <f>Table1123245[[#This Row],[pho (%)]]/100*Table1123245[[#This Row],[b (mm)]]*Table1123245[[#This Row],[d (mm)]]</f>
        <v>2802.75</v>
      </c>
      <c r="AH19" s="15">
        <v>1.01</v>
      </c>
      <c r="AI19" s="8">
        <v>508</v>
      </c>
      <c r="AJ19" s="8">
        <f>(1/3-0.21*(MIN(Table1123245[[#This Row],[b (mm)]],AD19)/MAX(Table1123245[[#This Row],[b (mm)]],AD19))*(MIN(Table1123245[[#This Row],[b (mm)]],AD19)^4/(12*MAX(Table1123245[[#This Row],[b (mm)]],AD19)^4)))*MAX(Table1123245[[#This Row],[b (mm)]],AD19)*MIN(Table1123245[[#This Row],[b (mm)]],AD19)^3</f>
        <v>8998851825</v>
      </c>
      <c r="AK19" s="8">
        <f>Table1123245[[#This Row],[b (mm)]]*AD19^3/12</f>
        <v>25000000000</v>
      </c>
      <c r="AL19" s="8">
        <v>6000</v>
      </c>
      <c r="AM19" s="12"/>
      <c r="AN19" s="9"/>
      <c r="AO19" s="12"/>
      <c r="AP19" s="1"/>
    </row>
    <row r="20" spans="1:42" s="10" customFormat="1" x14ac:dyDescent="0.25">
      <c r="A20" s="58" t="s">
        <v>129</v>
      </c>
      <c r="B20" s="15">
        <v>7</v>
      </c>
      <c r="C20" s="3">
        <v>19</v>
      </c>
      <c r="D20" s="64">
        <f>2700/Table1123245[[#This Row],[d]]</f>
        <v>2.9189189189189189</v>
      </c>
      <c r="E20" s="15">
        <v>325</v>
      </c>
      <c r="F20" s="3">
        <v>925</v>
      </c>
      <c r="G20" s="8">
        <f t="shared" si="8"/>
        <v>877500</v>
      </c>
      <c r="H20" s="8">
        <f t="shared" si="9"/>
        <v>1.3327369372188066E-6</v>
      </c>
      <c r="I20" s="8">
        <f>G20/(Table1123245[[#This Row],[b (mm)]]*AC20^2)</f>
        <v>3.4185536888239592E-3</v>
      </c>
      <c r="J20" s="8">
        <f t="shared" si="10"/>
        <v>0.66628083122007464</v>
      </c>
      <c r="K20" s="8">
        <f t="shared" si="11"/>
        <v>1.1501821201881586E-6</v>
      </c>
      <c r="L20" s="8">
        <f>E20/(Table1123245[[#This Row],[b (mm)]]*AC20)</f>
        <v>1.1711711711711711E-3</v>
      </c>
      <c r="M20" s="8">
        <f>Table1123245[[#This Row],[M (KN.mm)]]/(Table1123245[[#This Row],[b (mm)]]*Table1123245[[#This Row],[d (mm)]])</f>
        <v>3.1621621621621623</v>
      </c>
      <c r="N20" s="8">
        <f>Table1123245[[#This Row],[M (KN.mm)]]/(Table1123245[[#This Row],[b (mm)]]*Table1123245[[#This Row],[h (mm)]])</f>
        <v>2.9249999999999998</v>
      </c>
      <c r="O20" s="8">
        <f>Table1123245[[#This Row],[M (KN.mm)]]/(Table1123245[[#This Row],[b (mm)]]*Table1123245[[#This Row],[h (mm)]]*Table1123245[[#This Row],[L(mm)]])</f>
        <v>4.8749999999999998E-4</v>
      </c>
      <c r="P20" s="8">
        <f>Table1123245[[#This Row],[M (KN.mm)]]/(Table1123245[[#This Row],[b (mm)]]*Table1123245[[#This Row],[d (mm)]]*Table1123245[[#This Row],[L(mm)]])</f>
        <v>5.27027027027027E-4</v>
      </c>
      <c r="Q20" s="8">
        <f>Table1123245[[#This Row],[M (KN.mm)]]/(Table1123245[[#This Row],[b (mm)]]*Table1123245[[#This Row],[h (mm)]]*Table1123245[[#This Row],[L(mm)]]*Table1123245[[#This Row],[fc (Mpa)]])</f>
        <v>7.5000000000000002E-6</v>
      </c>
      <c r="R20" s="8">
        <f>Table1123245[[#This Row],[M (KN.mm)]]/(Table1123245[[#This Row],[b (mm)]]*Table1123245[[#This Row],[h (mm)]]*Table1123245[[#This Row],[L(mm)]]/2)</f>
        <v>9.7499999999999996E-4</v>
      </c>
      <c r="S20" s="8">
        <f>Table1123245[[#This Row],[M (KN.mm)]]/(Table1123245[[#This Row],[a (mm)]]*Table1123245[[#This Row],[b (mm)]]*Table1123245[[#This Row],[h (mm)]]*Table1123245[[#This Row],[L(mm)]]/2)</f>
        <v>3.6111111111111112E-7</v>
      </c>
      <c r="T20" s="8">
        <f>G20/($AN$5*AK20*0.001*Table1123245[[#This Row],[pho (%)]])</f>
        <v>1.3195415219988185E-6</v>
      </c>
      <c r="U20" s="8">
        <f>Table1123245[[#This Row],[M (KN.mm)]]/(Table1123245[[#This Row],[b (mm)]]*Table1123245[[#This Row],[d (mm)]]*Table1123245[[#This Row],[pho (%)]])</f>
        <v>3.1308536259031308</v>
      </c>
      <c r="V20" s="8">
        <f>E20*224.8/(2*SQRT(Table1123245[[#This Row],[fc (Mpa)]]*145.037)*Table1123245[[#This Row],[b (mm)]]*Table1123245[[#This Row],[d (mm)]]*(1/25.4)^2)</f>
        <v>0.87469780287573917</v>
      </c>
      <c r="W20" s="8">
        <f>Table1123245[[#This Row],[M (KN.mm)]]/$G$23</f>
        <v>0.7303370786516854</v>
      </c>
      <c r="X20" s="8">
        <f>E20*224.8/(2*SQRT(Table1123245[[#This Row],[fc (Mpa)]]*145.037)*Table1123245[[#This Row],[b (mm)]]*Table1123245[[#This Row],[d (mm)]]*(1/25.4)^2+Table1123245[[#This Row],[Av fy d/s (N)]]*0.2248)</f>
        <v>0.67349571239444794</v>
      </c>
      <c r="Y20" s="8">
        <v>0.4</v>
      </c>
      <c r="Z20" s="8">
        <f>Table1123245[[#This Row],[Av fy/(b S) (Mpa)]]*Table1123245[[#This Row],[d (mm)]]*Table1123245[[#This Row],[b (mm)]]</f>
        <v>111000</v>
      </c>
      <c r="AA20" s="8">
        <f>Table1123245[[#This Row],[d (mm)]]/300</f>
        <v>3.0833333333333335</v>
      </c>
      <c r="AB20" s="8">
        <f>Table1123245[[#This Row],[a/d]]*Table1123245[[#This Row],[d]]</f>
        <v>2700</v>
      </c>
      <c r="AC20" s="8">
        <f>Table1123245[[#This Row],[d]]</f>
        <v>925</v>
      </c>
      <c r="AD20" s="8">
        <v>1000</v>
      </c>
      <c r="AE20" s="5">
        <v>300</v>
      </c>
      <c r="AF20" s="15">
        <v>65</v>
      </c>
      <c r="AG20" s="8">
        <f>Table1123245[[#This Row],[pho (%)]]/100*Table1123245[[#This Row],[b (mm)]]*Table1123245[[#This Row],[d (mm)]]</f>
        <v>2802.75</v>
      </c>
      <c r="AH20" s="15">
        <v>1.01</v>
      </c>
      <c r="AI20" s="8">
        <v>508</v>
      </c>
      <c r="AJ20" s="8">
        <f>(1/3-0.21*(MIN(Table1123245[[#This Row],[b (mm)]],AD20)/MAX(Table1123245[[#This Row],[b (mm)]],AD20))*(MIN(Table1123245[[#This Row],[b (mm)]],AD20)^4/(12*MAX(Table1123245[[#This Row],[b (mm)]],AD20)^4)))*MAX(Table1123245[[#This Row],[b (mm)]],AD20)*MIN(Table1123245[[#This Row],[b (mm)]],AD20)^3</f>
        <v>8998851825</v>
      </c>
      <c r="AK20" s="8">
        <f>Table1123245[[#This Row],[b (mm)]]*AD20^3/12</f>
        <v>25000000000</v>
      </c>
      <c r="AL20" s="8">
        <v>6000</v>
      </c>
      <c r="AM20" s="12"/>
      <c r="AN20" s="9"/>
      <c r="AO20" s="12"/>
      <c r="AP20" s="1"/>
    </row>
    <row r="21" spans="1:42" s="10" customFormat="1" x14ac:dyDescent="0.25">
      <c r="A21" s="58" t="s">
        <v>129</v>
      </c>
      <c r="B21" s="15">
        <v>8</v>
      </c>
      <c r="C21" s="3">
        <v>20</v>
      </c>
      <c r="D21" s="64">
        <f>2700/Table1123245[[#This Row],[d]]</f>
        <v>2.9189189189189189</v>
      </c>
      <c r="E21" s="15">
        <v>360</v>
      </c>
      <c r="F21" s="3">
        <v>925</v>
      </c>
      <c r="G21" s="8">
        <f t="shared" si="8"/>
        <v>972000</v>
      </c>
      <c r="H21" s="8">
        <f t="shared" si="9"/>
        <v>1.4762624535346781E-6</v>
      </c>
      <c r="I21" s="8">
        <f>G21/(Table1123245[[#This Row],[b (mm)]]*AC21^2)</f>
        <v>3.7867056245434625E-3</v>
      </c>
      <c r="J21" s="8">
        <f t="shared" si="10"/>
        <v>0.73803415150531337</v>
      </c>
      <c r="K21" s="8">
        <f t="shared" si="11"/>
        <v>1.2740478869776525E-6</v>
      </c>
      <c r="L21" s="8">
        <f>E21/(Table1123245[[#This Row],[b (mm)]]*AC21)</f>
        <v>1.2972972972972972E-3</v>
      </c>
      <c r="M21" s="8">
        <f>Table1123245[[#This Row],[M (KN.mm)]]/(Table1123245[[#This Row],[b (mm)]]*Table1123245[[#This Row],[d (mm)]])</f>
        <v>3.5027027027027029</v>
      </c>
      <c r="N21" s="8">
        <f>Table1123245[[#This Row],[M (KN.mm)]]/(Table1123245[[#This Row],[b (mm)]]*Table1123245[[#This Row],[h (mm)]])</f>
        <v>3.24</v>
      </c>
      <c r="O21" s="8">
        <f>Table1123245[[#This Row],[M (KN.mm)]]/(Table1123245[[#This Row],[b (mm)]]*Table1123245[[#This Row],[h (mm)]]*Table1123245[[#This Row],[L(mm)]])</f>
        <v>5.4000000000000001E-4</v>
      </c>
      <c r="P21" s="8">
        <f>Table1123245[[#This Row],[M (KN.mm)]]/(Table1123245[[#This Row],[b (mm)]]*Table1123245[[#This Row],[d (mm)]]*Table1123245[[#This Row],[L(mm)]])</f>
        <v>5.837837837837838E-4</v>
      </c>
      <c r="Q21" s="8">
        <f>Table1123245[[#This Row],[M (KN.mm)]]/(Table1123245[[#This Row],[b (mm)]]*Table1123245[[#This Row],[h (mm)]]*Table1123245[[#This Row],[L(mm)]]*Table1123245[[#This Row],[fc (Mpa)]])</f>
        <v>8.3076923076923074E-6</v>
      </c>
      <c r="R21" s="8">
        <f>Table1123245[[#This Row],[M (KN.mm)]]/(Table1123245[[#This Row],[b (mm)]]*Table1123245[[#This Row],[h (mm)]]*Table1123245[[#This Row],[L(mm)]]/2)</f>
        <v>1.08E-3</v>
      </c>
      <c r="S21" s="8">
        <f>Table1123245[[#This Row],[M (KN.mm)]]/(Table1123245[[#This Row],[a (mm)]]*Table1123245[[#This Row],[b (mm)]]*Table1123245[[#This Row],[h (mm)]]*Table1123245[[#This Row],[L(mm)]]/2)</f>
        <v>3.9999999999999998E-7</v>
      </c>
      <c r="T21" s="8">
        <f>G21/($AN$5*AK21*0.001*Table1123245[[#This Row],[pho (%)]])</f>
        <v>1.4616459935986911E-6</v>
      </c>
      <c r="U21" s="8">
        <f>Table1123245[[#This Row],[M (KN.mm)]]/(Table1123245[[#This Row],[b (mm)]]*Table1123245[[#This Row],[d (mm)]]*Table1123245[[#This Row],[pho (%)]])</f>
        <v>3.4680224779234679</v>
      </c>
      <c r="V21" s="8">
        <f>E21*224.8/(2*SQRT(Table1123245[[#This Row],[fc (Mpa)]]*145.037)*Table1123245[[#This Row],[b (mm)]]*Table1123245[[#This Row],[d (mm)]]*(1/25.4)^2)</f>
        <v>0.96889602780081885</v>
      </c>
      <c r="W21" s="8">
        <f>Table1123245[[#This Row],[M (KN.mm)]]/$G$23</f>
        <v>0.8089887640449438</v>
      </c>
      <c r="X21" s="8">
        <f>E21*224.8/(2*SQRT(Table1123245[[#This Row],[fc (Mpa)]]*145.037)*Table1123245[[#This Row],[b (mm)]]*Table1123245[[#This Row],[d (mm)]]*(1/25.4)^2+Table1123245[[#This Row],[Av fy d/s (N)]]*0.2248)</f>
        <v>0.74602601988308082</v>
      </c>
      <c r="Y21" s="8">
        <v>0.4</v>
      </c>
      <c r="Z21" s="8">
        <f>Table1123245[[#This Row],[Av fy/(b S) (Mpa)]]*Table1123245[[#This Row],[d (mm)]]*Table1123245[[#This Row],[b (mm)]]</f>
        <v>111000</v>
      </c>
      <c r="AA21" s="8">
        <f>Table1123245[[#This Row],[d (mm)]]/300</f>
        <v>3.0833333333333335</v>
      </c>
      <c r="AB21" s="8">
        <f>Table1123245[[#This Row],[a/d]]*Table1123245[[#This Row],[d]]</f>
        <v>2700</v>
      </c>
      <c r="AC21" s="8">
        <f>Table1123245[[#This Row],[d]]</f>
        <v>925</v>
      </c>
      <c r="AD21" s="8">
        <v>1000</v>
      </c>
      <c r="AE21" s="5">
        <v>300</v>
      </c>
      <c r="AF21" s="15">
        <v>65</v>
      </c>
      <c r="AG21" s="8">
        <f>Table1123245[[#This Row],[pho (%)]]/100*Table1123245[[#This Row],[b (mm)]]*Table1123245[[#This Row],[d (mm)]]</f>
        <v>2802.75</v>
      </c>
      <c r="AH21" s="15">
        <v>1.01</v>
      </c>
      <c r="AI21" s="8">
        <v>508</v>
      </c>
      <c r="AJ21" s="8">
        <f>(1/3-0.21*(MIN(Table1123245[[#This Row],[b (mm)]],AD21)/MAX(Table1123245[[#This Row],[b (mm)]],AD21))*(MIN(Table1123245[[#This Row],[b (mm)]],AD21)^4/(12*MAX(Table1123245[[#This Row],[b (mm)]],AD21)^4)))*MAX(Table1123245[[#This Row],[b (mm)]],AD21)*MIN(Table1123245[[#This Row],[b (mm)]],AD21)^3</f>
        <v>8998851825</v>
      </c>
      <c r="AK21" s="8">
        <f>Table1123245[[#This Row],[b (mm)]]*AD21^3/12</f>
        <v>25000000000</v>
      </c>
      <c r="AL21" s="8">
        <v>6000</v>
      </c>
      <c r="AM21" s="12"/>
      <c r="AN21" s="9"/>
      <c r="AO21" s="12"/>
      <c r="AP21" s="1"/>
    </row>
    <row r="22" spans="1:42" s="10" customFormat="1" x14ac:dyDescent="0.25">
      <c r="A22" s="58" t="s">
        <v>129</v>
      </c>
      <c r="B22" s="15">
        <v>9</v>
      </c>
      <c r="C22" s="3">
        <v>21</v>
      </c>
      <c r="D22" s="64">
        <f>2700/Table1123245[[#This Row],[d]]</f>
        <v>2.9189189189189189</v>
      </c>
      <c r="E22" s="15">
        <v>400</v>
      </c>
      <c r="F22" s="3">
        <v>925</v>
      </c>
      <c r="G22" s="8">
        <f t="shared" si="8"/>
        <v>1080000</v>
      </c>
      <c r="H22" s="8">
        <f t="shared" si="9"/>
        <v>1.6402916150385313E-6</v>
      </c>
      <c r="I22" s="8">
        <f>G22/(Table1123245[[#This Row],[b (mm)]]*AC22^2)</f>
        <v>4.20745069393718E-3</v>
      </c>
      <c r="J22" s="8">
        <f t="shared" si="10"/>
        <v>0.82003794611701486</v>
      </c>
      <c r="K22" s="8">
        <f t="shared" si="11"/>
        <v>1.4156087633085027E-6</v>
      </c>
      <c r="L22" s="8">
        <f>E22/(Table1123245[[#This Row],[b (mm)]]*AC22)</f>
        <v>1.4414414414414415E-3</v>
      </c>
      <c r="M22" s="8">
        <f>Table1123245[[#This Row],[M (KN.mm)]]/(Table1123245[[#This Row],[b (mm)]]*Table1123245[[#This Row],[d (mm)]])</f>
        <v>3.8918918918918921</v>
      </c>
      <c r="N22" s="8">
        <f>Table1123245[[#This Row],[M (KN.mm)]]/(Table1123245[[#This Row],[b (mm)]]*Table1123245[[#This Row],[h (mm)]])</f>
        <v>3.6</v>
      </c>
      <c r="O22" s="8">
        <f>Table1123245[[#This Row],[M (KN.mm)]]/(Table1123245[[#This Row],[b (mm)]]*Table1123245[[#This Row],[h (mm)]]*Table1123245[[#This Row],[L(mm)]])</f>
        <v>5.9999999999999995E-4</v>
      </c>
      <c r="P22" s="8">
        <f>Table1123245[[#This Row],[M (KN.mm)]]/(Table1123245[[#This Row],[b (mm)]]*Table1123245[[#This Row],[d (mm)]]*Table1123245[[#This Row],[L(mm)]])</f>
        <v>6.4864864864864862E-4</v>
      </c>
      <c r="Q22" s="8">
        <f>Table1123245[[#This Row],[M (KN.mm)]]/(Table1123245[[#This Row],[b (mm)]]*Table1123245[[#This Row],[h (mm)]]*Table1123245[[#This Row],[L(mm)]]*Table1123245[[#This Row],[fc (Mpa)]])</f>
        <v>9.2307692307692306E-6</v>
      </c>
      <c r="R22" s="8">
        <f>Table1123245[[#This Row],[M (KN.mm)]]/(Table1123245[[#This Row],[b (mm)]]*Table1123245[[#This Row],[h (mm)]]*Table1123245[[#This Row],[L(mm)]]/2)</f>
        <v>1.1999999999999999E-3</v>
      </c>
      <c r="S22" s="8">
        <f>Table1123245[[#This Row],[M (KN.mm)]]/(Table1123245[[#This Row],[a (mm)]]*Table1123245[[#This Row],[b (mm)]]*Table1123245[[#This Row],[h (mm)]]*Table1123245[[#This Row],[L(mm)]]/2)</f>
        <v>4.4444444444444444E-7</v>
      </c>
      <c r="T22" s="8">
        <f>G22/($AN$5*AK22*0.001*Table1123245[[#This Row],[pho (%)]])</f>
        <v>1.6240511039985458E-6</v>
      </c>
      <c r="U22" s="8">
        <f>Table1123245[[#This Row],[M (KN.mm)]]/(Table1123245[[#This Row],[b (mm)]]*Table1123245[[#This Row],[d (mm)]]*Table1123245[[#This Row],[pho (%)]])</f>
        <v>3.8533583088038532</v>
      </c>
      <c r="V22" s="8">
        <f>E22*224.8/(2*SQRT(Table1123245[[#This Row],[fc (Mpa)]]*145.037)*Table1123245[[#This Row],[b (mm)]]*Table1123245[[#This Row],[d (mm)]]*(1/25.4)^2)</f>
        <v>1.0765511420009097</v>
      </c>
      <c r="W22" s="8">
        <f>Table1123245[[#This Row],[M (KN.mm)]]/$G$23</f>
        <v>0.898876404494382</v>
      </c>
      <c r="X22" s="8">
        <f>E22*224.8/(2*SQRT(Table1123245[[#This Row],[fc (Mpa)]]*145.037)*Table1123245[[#This Row],[b (mm)]]*Table1123245[[#This Row],[d (mm)]]*(1/25.4)^2+Table1123245[[#This Row],[Av fy d/s (N)]]*0.2248)</f>
        <v>0.82891779987008984</v>
      </c>
      <c r="Y22" s="8">
        <v>0.4</v>
      </c>
      <c r="Z22" s="8">
        <f>Table1123245[[#This Row],[Av fy/(b S) (Mpa)]]*Table1123245[[#This Row],[d (mm)]]*Table1123245[[#This Row],[b (mm)]]</f>
        <v>111000</v>
      </c>
      <c r="AA22" s="8">
        <f>Table1123245[[#This Row],[d (mm)]]/300</f>
        <v>3.0833333333333335</v>
      </c>
      <c r="AB22" s="8">
        <f>Table1123245[[#This Row],[a/d]]*Table1123245[[#This Row],[d]]</f>
        <v>2700</v>
      </c>
      <c r="AC22" s="8">
        <f>Table1123245[[#This Row],[d]]</f>
        <v>925</v>
      </c>
      <c r="AD22" s="8">
        <v>1000</v>
      </c>
      <c r="AE22" s="5">
        <v>300</v>
      </c>
      <c r="AF22" s="15">
        <v>65</v>
      </c>
      <c r="AG22" s="8">
        <f>Table1123245[[#This Row],[pho (%)]]/100*Table1123245[[#This Row],[b (mm)]]*Table1123245[[#This Row],[d (mm)]]</f>
        <v>2802.75</v>
      </c>
      <c r="AH22" s="15">
        <v>1.01</v>
      </c>
      <c r="AI22" s="8">
        <v>508</v>
      </c>
      <c r="AJ22" s="8">
        <f>(1/3-0.21*(MIN(Table1123245[[#This Row],[b (mm)]],AD22)/MAX(Table1123245[[#This Row],[b (mm)]],AD22))*(MIN(Table1123245[[#This Row],[b (mm)]],AD22)^4/(12*MAX(Table1123245[[#This Row],[b (mm)]],AD22)^4)))*MAX(Table1123245[[#This Row],[b (mm)]],AD22)*MIN(Table1123245[[#This Row],[b (mm)]],AD22)^3</f>
        <v>8998851825</v>
      </c>
      <c r="AK22" s="8">
        <f>Table1123245[[#This Row],[b (mm)]]*AD22^3/12</f>
        <v>25000000000</v>
      </c>
      <c r="AL22" s="8">
        <v>6000</v>
      </c>
      <c r="AM22" s="12"/>
      <c r="AN22" s="12"/>
      <c r="AO22" s="12"/>
      <c r="AP22" s="1"/>
    </row>
    <row r="23" spans="1:42" s="10" customFormat="1" x14ac:dyDescent="0.25">
      <c r="A23" s="58" t="s">
        <v>129</v>
      </c>
      <c r="B23" s="15">
        <v>10</v>
      </c>
      <c r="C23" s="3">
        <v>22</v>
      </c>
      <c r="D23" s="64">
        <f>2700/Table1123245[[#This Row],[d]]</f>
        <v>2.9189189189189189</v>
      </c>
      <c r="E23" s="15">
        <v>445</v>
      </c>
      <c r="F23" s="3">
        <v>925</v>
      </c>
      <c r="G23" s="8">
        <f t="shared" si="8"/>
        <v>1201500</v>
      </c>
      <c r="H23" s="8">
        <f>G23/($AN$5*AK23*0.001)</f>
        <v>1.8248244217303661E-6</v>
      </c>
      <c r="I23" s="8">
        <f>G23/(Table1123245[[#This Row],[b (mm)]]*AC23^2)</f>
        <v>4.6807888970051134E-3</v>
      </c>
      <c r="J23" s="8">
        <f>G23/(AG23*AI23*AC23*0.001)</f>
        <v>0.9122922150551791</v>
      </c>
      <c r="K23" s="8">
        <f>E23/($AN$4*AJ23*0.001)</f>
        <v>1.5748647491807093E-6</v>
      </c>
      <c r="L23" s="8">
        <f>E23/(Table1123245[[#This Row],[b (mm)]]*AC23)</f>
        <v>1.6036036036036036E-3</v>
      </c>
      <c r="M23" s="8">
        <f>Table1123245[[#This Row],[M (KN.mm)]]/(Table1123245[[#This Row],[b (mm)]]*Table1123245[[#This Row],[d (mm)]])</f>
        <v>4.3297297297297295</v>
      </c>
      <c r="N23" s="8">
        <f>Table1123245[[#This Row],[M (KN.mm)]]/(Table1123245[[#This Row],[b (mm)]]*Table1123245[[#This Row],[h (mm)]])</f>
        <v>4.0049999999999999</v>
      </c>
      <c r="O23" s="8">
        <f>Table1123245[[#This Row],[M (KN.mm)]]/(Table1123245[[#This Row],[b (mm)]]*Table1123245[[#This Row],[h (mm)]]*Table1123245[[#This Row],[L(mm)]])</f>
        <v>6.6750000000000002E-4</v>
      </c>
      <c r="P23" s="8">
        <f>Table1123245[[#This Row],[M (KN.mm)]]/(Table1123245[[#This Row],[b (mm)]]*Table1123245[[#This Row],[d (mm)]]*Table1123245[[#This Row],[L(mm)]])</f>
        <v>7.2162162162162167E-4</v>
      </c>
      <c r="Q23" s="8">
        <f>Table1123245[[#This Row],[M (KN.mm)]]/(Table1123245[[#This Row],[b (mm)]]*Table1123245[[#This Row],[h (mm)]]*Table1123245[[#This Row],[L(mm)]]*Table1123245[[#This Row],[fc (Mpa)]])</f>
        <v>1.0269230769230769E-5</v>
      </c>
      <c r="R23" s="8">
        <f>Table1123245[[#This Row],[M (KN.mm)]]/(Table1123245[[#This Row],[b (mm)]]*Table1123245[[#This Row],[h (mm)]]*Table1123245[[#This Row],[L(mm)]]/2)</f>
        <v>1.335E-3</v>
      </c>
      <c r="S23" s="8">
        <f>Table1123245[[#This Row],[M (KN.mm)]]/(Table1123245[[#This Row],[a (mm)]]*Table1123245[[#This Row],[b (mm)]]*Table1123245[[#This Row],[h (mm)]]*Table1123245[[#This Row],[L(mm)]]/2)</f>
        <v>4.9444444444444449E-7</v>
      </c>
      <c r="T23" s="8">
        <f>G23/($AN$5*AK23*0.001*Table1123245[[#This Row],[pho (%)]])</f>
        <v>1.8067568531983822E-6</v>
      </c>
      <c r="U23" s="8">
        <f>Table1123245[[#This Row],[M (KN.mm)]]/(Table1123245[[#This Row],[b (mm)]]*Table1123245[[#This Row],[d (mm)]]*Table1123245[[#This Row],[pho (%)]])</f>
        <v>4.2868611185442864</v>
      </c>
      <c r="V23" s="8">
        <f>E23*224.8/(2*SQRT(Table1123245[[#This Row],[fc (Mpa)]]*145.037)*Table1123245[[#This Row],[b (mm)]]*Table1123245[[#This Row],[d (mm)]]*(1/25.4)^2)</f>
        <v>1.197663145476012</v>
      </c>
      <c r="W23" s="8">
        <f>Table1123245[[#This Row],[M (KN.mm)]]/$G$23</f>
        <v>1</v>
      </c>
      <c r="X23" s="8">
        <f>E23*224.8/(2*SQRT(Table1123245[[#This Row],[fc (Mpa)]]*145.037)*Table1123245[[#This Row],[b (mm)]]*Table1123245[[#This Row],[d (mm)]]*(1/25.4)^2+Table1123245[[#This Row],[Av fy d/s (N)]]*0.2248)</f>
        <v>0.92217105235547492</v>
      </c>
      <c r="Y23" s="8">
        <v>0.4</v>
      </c>
      <c r="Z23" s="8">
        <f>Table1123245[[#This Row],[Av fy/(b S) (Mpa)]]*Table1123245[[#This Row],[d (mm)]]*Table1123245[[#This Row],[b (mm)]]</f>
        <v>111000</v>
      </c>
      <c r="AA23" s="8">
        <f>Table1123245[[#This Row],[d (mm)]]/300</f>
        <v>3.0833333333333335</v>
      </c>
      <c r="AB23" s="8">
        <f>Table1123245[[#This Row],[a/d]]*Table1123245[[#This Row],[d]]</f>
        <v>2700</v>
      </c>
      <c r="AC23" s="8">
        <f>Table1123245[[#This Row],[d]]</f>
        <v>925</v>
      </c>
      <c r="AD23" s="8">
        <v>1000</v>
      </c>
      <c r="AE23" s="5">
        <v>300</v>
      </c>
      <c r="AF23" s="15">
        <v>65</v>
      </c>
      <c r="AG23" s="8">
        <f>Table1123245[[#This Row],[pho (%)]]/100*Table1123245[[#This Row],[b (mm)]]*Table1123245[[#This Row],[d (mm)]]</f>
        <v>2802.75</v>
      </c>
      <c r="AH23" s="15">
        <v>1.01</v>
      </c>
      <c r="AI23" s="8">
        <v>508</v>
      </c>
      <c r="AJ23" s="8">
        <f>(1/3-0.21*(MIN(Table1123245[[#This Row],[b (mm)]],AD23)/MAX(Table1123245[[#This Row],[b (mm)]],AD23))*(MIN(Table1123245[[#This Row],[b (mm)]],AD23)^4/(12*MAX(Table1123245[[#This Row],[b (mm)]],AD23)^4)))*MAX(Table1123245[[#This Row],[b (mm)]],AD23)*MIN(Table1123245[[#This Row],[b (mm)]],AD23)^3</f>
        <v>8998851825</v>
      </c>
      <c r="AK23" s="8">
        <f>Table1123245[[#This Row],[b (mm)]]*AD23^3/12</f>
        <v>25000000000</v>
      </c>
      <c r="AL23" s="8">
        <v>6000</v>
      </c>
      <c r="AM23" s="12"/>
      <c r="AN23" s="12"/>
      <c r="AO23" s="12"/>
      <c r="AP23" s="1"/>
    </row>
    <row r="24" spans="1:42" s="10" customFormat="1" x14ac:dyDescent="0.25">
      <c r="A24" s="56" t="s">
        <v>130</v>
      </c>
      <c r="B24" s="15">
        <v>1</v>
      </c>
      <c r="C24" s="3">
        <v>23</v>
      </c>
      <c r="D24" s="64">
        <f>2700/Table1123245[[#This Row],[d]]</f>
        <v>2.9189189189189189</v>
      </c>
      <c r="E24" s="15">
        <v>88</v>
      </c>
      <c r="F24" s="3">
        <v>925</v>
      </c>
      <c r="G24" s="8">
        <f t="shared" ref="G24:G30" si="12">E24*AB24</f>
        <v>237600</v>
      </c>
      <c r="H24" s="8">
        <f t="shared" ref="H24:H30" si="13">G24/($AN$5*AK24*0.001)</f>
        <v>3.6086415530847691E-7</v>
      </c>
      <c r="I24" s="8">
        <f>G24/(Table1123245[[#This Row],[b (mm)]]*AC24^2)</f>
        <v>9.2563915266617974E-4</v>
      </c>
      <c r="J24" s="8">
        <f t="shared" ref="J24:J30" si="14">G24/(AG24*AI24*AC24*0.001)</f>
        <v>0.18040834814574327</v>
      </c>
      <c r="K24" s="8">
        <f t="shared" ref="K24:K30" si="15">E24/($AN$4*AJ24*0.001)</f>
        <v>3.1143392792787063E-7</v>
      </c>
      <c r="L24" s="8">
        <f>E24/(Table1123245[[#This Row],[b (mm)]]*AC24)</f>
        <v>3.1711711711711712E-4</v>
      </c>
      <c r="M24" s="8">
        <f>Table1123245[[#This Row],[M (KN.mm)]]/(Table1123245[[#This Row],[b (mm)]]*Table1123245[[#This Row],[d (mm)]])</f>
        <v>0.85621621621621624</v>
      </c>
      <c r="N24" s="8">
        <f>Table1123245[[#This Row],[M (KN.mm)]]/(Table1123245[[#This Row],[b (mm)]]*Table1123245[[#This Row],[h (mm)]])</f>
        <v>0.79200000000000004</v>
      </c>
      <c r="O24" s="8">
        <f>Table1123245[[#This Row],[M (KN.mm)]]/(Table1123245[[#This Row],[b (mm)]]*Table1123245[[#This Row],[h (mm)]]*Table1123245[[#This Row],[L(mm)]])</f>
        <v>1.3200000000000001E-4</v>
      </c>
      <c r="P24" s="8">
        <f>Table1123245[[#This Row],[M (KN.mm)]]/(Table1123245[[#This Row],[b (mm)]]*Table1123245[[#This Row],[d (mm)]]*Table1123245[[#This Row],[L(mm)]])</f>
        <v>1.427027027027027E-4</v>
      </c>
      <c r="Q24" s="8">
        <f>Table1123245[[#This Row],[M (KN.mm)]]/(Table1123245[[#This Row],[b (mm)]]*Table1123245[[#This Row],[h (mm)]]*Table1123245[[#This Row],[L(mm)]]*Table1123245[[#This Row],[fc (Mpa)]])</f>
        <v>1.6500000000000001E-6</v>
      </c>
      <c r="R24" s="8">
        <f>Table1123245[[#This Row],[M (KN.mm)]]/(Table1123245[[#This Row],[b (mm)]]*Table1123245[[#This Row],[h (mm)]]*Table1123245[[#This Row],[L(mm)]]/2)</f>
        <v>2.6400000000000002E-4</v>
      </c>
      <c r="S24" s="8">
        <f>Table1123245[[#This Row],[M (KN.mm)]]/(Table1123245[[#This Row],[a (mm)]]*Table1123245[[#This Row],[b (mm)]]*Table1123245[[#This Row],[h (mm)]]*Table1123245[[#This Row],[L(mm)]]/2)</f>
        <v>9.7777777777777775E-8</v>
      </c>
      <c r="T24" s="8">
        <f>G24/($AN$5*AK24*0.001*Table1123245[[#This Row],[pho (%)]])</f>
        <v>3.5729124287968003E-7</v>
      </c>
      <c r="U24" s="8">
        <f>Table1123245[[#This Row],[M (KN.mm)]]/(Table1123245[[#This Row],[b (mm)]]*Table1123245[[#This Row],[d (mm)]]*Table1123245[[#This Row],[pho (%)]])</f>
        <v>0.84773882793684774</v>
      </c>
      <c r="V24" s="8">
        <f>E24*224.8/(2*SQRT(Table1123245[[#This Row],[fc (Mpa)]]*145.037)*Table1123245[[#This Row],[b (mm)]]*Table1123245[[#This Row],[d (mm)]]*(1/25.4)^2)</f>
        <v>0.21348581887289769</v>
      </c>
      <c r="W24" s="8">
        <f>Table1123245[[#This Row],[M (KN.mm)]]/$G$30</f>
        <v>0.22680412371134021</v>
      </c>
      <c r="X24" s="8">
        <f>E24*224.8/(2*SQRT(Table1123245[[#This Row],[fc (Mpa)]]*145.037)*Table1123245[[#This Row],[b (mm)]]*Table1123245[[#This Row],[d (mm)]]*(1/25.4)^2+Table1123245[[#This Row],[Av fy d/s (N)]]*0.2248)</f>
        <v>0.1681939937943645</v>
      </c>
      <c r="Y24" s="8">
        <v>0.4</v>
      </c>
      <c r="Z24" s="8">
        <f>Table1123245[[#This Row],[Av fy/(b S) (Mpa)]]*Table1123245[[#This Row],[d (mm)]]*Table1123245[[#This Row],[b (mm)]]</f>
        <v>111000</v>
      </c>
      <c r="AA24" s="8">
        <f>Table1123245[[#This Row],[d (mm)]]/300</f>
        <v>3.0833333333333335</v>
      </c>
      <c r="AB24" s="8">
        <f>Table1123245[[#This Row],[a/d]]*Table1123245[[#This Row],[d]]</f>
        <v>2700</v>
      </c>
      <c r="AC24" s="8">
        <f>Table1123245[[#This Row],[d]]</f>
        <v>925</v>
      </c>
      <c r="AD24" s="8">
        <v>1000</v>
      </c>
      <c r="AE24" s="5">
        <v>300</v>
      </c>
      <c r="AF24" s="15">
        <v>80</v>
      </c>
      <c r="AG24" s="8">
        <f>Table1123245[[#This Row],[pho (%)]]/100*Table1123245[[#This Row],[b (mm)]]*Table1123245[[#This Row],[d (mm)]]</f>
        <v>2802.75</v>
      </c>
      <c r="AH24" s="15">
        <v>1.01</v>
      </c>
      <c r="AI24" s="8">
        <v>508</v>
      </c>
      <c r="AJ24" s="8">
        <f>(1/3-0.21*(MIN(Table1123245[[#This Row],[b (mm)]],AD24)/MAX(Table1123245[[#This Row],[b (mm)]],AD24))*(MIN(Table1123245[[#This Row],[b (mm)]],AD24)^4/(12*MAX(Table1123245[[#This Row],[b (mm)]],AD24)^4)))*MAX(Table1123245[[#This Row],[b (mm)]],AD24)*MIN(Table1123245[[#This Row],[b (mm)]],AD24)^3</f>
        <v>8998851825</v>
      </c>
      <c r="AK24" s="8">
        <f>Table1123245[[#This Row],[b (mm)]]*AD24^3/12</f>
        <v>25000000000</v>
      </c>
      <c r="AL24" s="8">
        <v>6000</v>
      </c>
      <c r="AM24" s="12"/>
      <c r="AN24" s="12"/>
      <c r="AO24" s="12"/>
      <c r="AP24" s="1"/>
    </row>
    <row r="25" spans="1:42" s="10" customFormat="1" x14ac:dyDescent="0.25">
      <c r="A25" s="56" t="s">
        <v>130</v>
      </c>
      <c r="B25" s="15">
        <v>2</v>
      </c>
      <c r="C25" s="3">
        <v>24</v>
      </c>
      <c r="D25" s="64">
        <f>2700/Table1123245[[#This Row],[d]]</f>
        <v>2.9189189189189189</v>
      </c>
      <c r="E25" s="15">
        <v>140</v>
      </c>
      <c r="F25" s="3">
        <v>925</v>
      </c>
      <c r="G25" s="8">
        <f t="shared" si="12"/>
        <v>378000</v>
      </c>
      <c r="H25" s="8">
        <f t="shared" si="13"/>
        <v>5.7410206526348592E-7</v>
      </c>
      <c r="I25" s="8">
        <f>G25/(Table1123245[[#This Row],[b (mm)]]*AC25^2)</f>
        <v>1.4726077428780131E-3</v>
      </c>
      <c r="J25" s="8">
        <f t="shared" si="14"/>
        <v>0.2870132811409552</v>
      </c>
      <c r="K25" s="8">
        <f t="shared" si="15"/>
        <v>4.9546306715797601E-7</v>
      </c>
      <c r="L25" s="8">
        <f>E25/(Table1123245[[#This Row],[b (mm)]]*AC25)</f>
        <v>5.0450450450450449E-4</v>
      </c>
      <c r="M25" s="8">
        <f>Table1123245[[#This Row],[M (KN.mm)]]/(Table1123245[[#This Row],[b (mm)]]*Table1123245[[#This Row],[d (mm)]])</f>
        <v>1.3621621621621622</v>
      </c>
      <c r="N25" s="8">
        <f>Table1123245[[#This Row],[M (KN.mm)]]/(Table1123245[[#This Row],[b (mm)]]*Table1123245[[#This Row],[h (mm)]])</f>
        <v>1.26</v>
      </c>
      <c r="O25" s="8">
        <f>Table1123245[[#This Row],[M (KN.mm)]]/(Table1123245[[#This Row],[b (mm)]]*Table1123245[[#This Row],[h (mm)]]*Table1123245[[#This Row],[L(mm)]])</f>
        <v>2.1000000000000001E-4</v>
      </c>
      <c r="P25" s="8">
        <f>Table1123245[[#This Row],[M (KN.mm)]]/(Table1123245[[#This Row],[b (mm)]]*Table1123245[[#This Row],[d (mm)]]*Table1123245[[#This Row],[L(mm)]])</f>
        <v>2.2702702702702703E-4</v>
      </c>
      <c r="Q25" s="8">
        <f>Table1123245[[#This Row],[M (KN.mm)]]/(Table1123245[[#This Row],[b (mm)]]*Table1123245[[#This Row],[h (mm)]]*Table1123245[[#This Row],[L(mm)]]*Table1123245[[#This Row],[fc (Mpa)]])</f>
        <v>2.6249999999999999E-6</v>
      </c>
      <c r="R25" s="8">
        <f>Table1123245[[#This Row],[M (KN.mm)]]/(Table1123245[[#This Row],[b (mm)]]*Table1123245[[#This Row],[h (mm)]]*Table1123245[[#This Row],[L(mm)]]/2)</f>
        <v>4.2000000000000002E-4</v>
      </c>
      <c r="S25" s="8">
        <f>Table1123245[[#This Row],[M (KN.mm)]]/(Table1123245[[#This Row],[a (mm)]]*Table1123245[[#This Row],[b (mm)]]*Table1123245[[#This Row],[h (mm)]]*Table1123245[[#This Row],[L(mm)]]/2)</f>
        <v>1.5555555555555556E-7</v>
      </c>
      <c r="T25" s="8">
        <f>G25/($AN$5*AK25*0.001*Table1123245[[#This Row],[pho (%)]])</f>
        <v>5.6841788639949103E-7</v>
      </c>
      <c r="U25" s="8">
        <f>Table1123245[[#This Row],[M (KN.mm)]]/(Table1123245[[#This Row],[b (mm)]]*Table1123245[[#This Row],[d (mm)]]*Table1123245[[#This Row],[pho (%)]])</f>
        <v>1.3486754080813488</v>
      </c>
      <c r="V25" s="8">
        <f>E25*224.8/(2*SQRT(Table1123245[[#This Row],[fc (Mpa)]]*145.037)*Table1123245[[#This Row],[b (mm)]]*Table1123245[[#This Row],[d (mm)]]*(1/25.4)^2)</f>
        <v>0.3396365300250645</v>
      </c>
      <c r="W25" s="8">
        <f>Table1123245[[#This Row],[M (KN.mm)]]/$G$30</f>
        <v>0.36082474226804123</v>
      </c>
      <c r="X25" s="8">
        <f>E25*224.8/(2*SQRT(Table1123245[[#This Row],[fc (Mpa)]]*145.037)*Table1123245[[#This Row],[b (mm)]]*Table1123245[[#This Row],[d (mm)]]*(1/25.4)^2+Table1123245[[#This Row],[Av fy d/s (N)]]*0.2248)</f>
        <v>0.26758135376376169</v>
      </c>
      <c r="Y25" s="8">
        <v>0.4</v>
      </c>
      <c r="Z25" s="8">
        <f>Table1123245[[#This Row],[Av fy/(b S) (Mpa)]]*Table1123245[[#This Row],[d (mm)]]*Table1123245[[#This Row],[b (mm)]]</f>
        <v>111000</v>
      </c>
      <c r="AA25" s="8">
        <f>Table1123245[[#This Row],[d (mm)]]/300</f>
        <v>3.0833333333333335</v>
      </c>
      <c r="AB25" s="8">
        <f>Table1123245[[#This Row],[a/d]]*Table1123245[[#This Row],[d]]</f>
        <v>2700</v>
      </c>
      <c r="AC25" s="8">
        <f>Table1123245[[#This Row],[d]]</f>
        <v>925</v>
      </c>
      <c r="AD25" s="8">
        <v>1000</v>
      </c>
      <c r="AE25" s="5">
        <v>300</v>
      </c>
      <c r="AF25" s="15">
        <v>80</v>
      </c>
      <c r="AG25" s="8">
        <f>Table1123245[[#This Row],[pho (%)]]/100*Table1123245[[#This Row],[b (mm)]]*Table1123245[[#This Row],[d (mm)]]</f>
        <v>2802.75</v>
      </c>
      <c r="AH25" s="15">
        <v>1.01</v>
      </c>
      <c r="AI25" s="8">
        <v>508</v>
      </c>
      <c r="AJ25" s="8">
        <f>(1/3-0.21*(MIN(Table1123245[[#This Row],[b (mm)]],AD25)/MAX(Table1123245[[#This Row],[b (mm)]],AD25))*(MIN(Table1123245[[#This Row],[b (mm)]],AD25)^4/(12*MAX(Table1123245[[#This Row],[b (mm)]],AD25)^4)))*MAX(Table1123245[[#This Row],[b (mm)]],AD25)*MIN(Table1123245[[#This Row],[b (mm)]],AD25)^3</f>
        <v>8998851825</v>
      </c>
      <c r="AK25" s="8">
        <f>Table1123245[[#This Row],[b (mm)]]*AD25^3/12</f>
        <v>25000000000</v>
      </c>
      <c r="AL25" s="8">
        <v>6000</v>
      </c>
      <c r="AM25" s="12"/>
      <c r="AN25" s="12"/>
      <c r="AO25" s="12"/>
      <c r="AP25" s="1"/>
    </row>
    <row r="26" spans="1:42" s="10" customFormat="1" x14ac:dyDescent="0.25">
      <c r="A26" s="56" t="s">
        <v>130</v>
      </c>
      <c r="B26" s="15">
        <v>3</v>
      </c>
      <c r="C26" s="3">
        <v>25</v>
      </c>
      <c r="D26" s="64">
        <f>2700/Table1123245[[#This Row],[d]]</f>
        <v>2.9189189189189189</v>
      </c>
      <c r="E26" s="15">
        <v>200</v>
      </c>
      <c r="F26" s="3">
        <v>925</v>
      </c>
      <c r="G26" s="8">
        <f t="shared" si="12"/>
        <v>540000</v>
      </c>
      <c r="H26" s="8">
        <f t="shared" si="13"/>
        <v>8.2014580751926564E-7</v>
      </c>
      <c r="I26" s="8">
        <f>G26/(Table1123245[[#This Row],[b (mm)]]*AC26^2)</f>
        <v>2.10372534696859E-3</v>
      </c>
      <c r="J26" s="8">
        <f t="shared" si="14"/>
        <v>0.41001897305850743</v>
      </c>
      <c r="K26" s="8">
        <f t="shared" si="15"/>
        <v>7.0780438165425135E-7</v>
      </c>
      <c r="L26" s="8">
        <f>E26/(Table1123245[[#This Row],[b (mm)]]*AC26)</f>
        <v>7.2072072072072073E-4</v>
      </c>
      <c r="M26" s="8">
        <f>Table1123245[[#This Row],[M (KN.mm)]]/(Table1123245[[#This Row],[b (mm)]]*Table1123245[[#This Row],[d (mm)]])</f>
        <v>1.9459459459459461</v>
      </c>
      <c r="N26" s="8">
        <f>Table1123245[[#This Row],[M (KN.mm)]]/(Table1123245[[#This Row],[b (mm)]]*Table1123245[[#This Row],[h (mm)]])</f>
        <v>1.8</v>
      </c>
      <c r="O26" s="8">
        <f>Table1123245[[#This Row],[M (KN.mm)]]/(Table1123245[[#This Row],[b (mm)]]*Table1123245[[#This Row],[h (mm)]]*Table1123245[[#This Row],[L(mm)]])</f>
        <v>2.9999999999999997E-4</v>
      </c>
      <c r="P26" s="8">
        <f>Table1123245[[#This Row],[M (KN.mm)]]/(Table1123245[[#This Row],[b (mm)]]*Table1123245[[#This Row],[d (mm)]]*Table1123245[[#This Row],[L(mm)]])</f>
        <v>3.2432432432432431E-4</v>
      </c>
      <c r="Q26" s="8">
        <f>Table1123245[[#This Row],[M (KN.mm)]]/(Table1123245[[#This Row],[b (mm)]]*Table1123245[[#This Row],[h (mm)]]*Table1123245[[#This Row],[L(mm)]]*Table1123245[[#This Row],[fc (Mpa)]])</f>
        <v>3.7500000000000001E-6</v>
      </c>
      <c r="R26" s="8">
        <f>Table1123245[[#This Row],[M (KN.mm)]]/(Table1123245[[#This Row],[b (mm)]]*Table1123245[[#This Row],[h (mm)]]*Table1123245[[#This Row],[L(mm)]]/2)</f>
        <v>5.9999999999999995E-4</v>
      </c>
      <c r="S26" s="8">
        <f>Table1123245[[#This Row],[M (KN.mm)]]/(Table1123245[[#This Row],[a (mm)]]*Table1123245[[#This Row],[b (mm)]]*Table1123245[[#This Row],[h (mm)]]*Table1123245[[#This Row],[L(mm)]]/2)</f>
        <v>2.2222222222222222E-7</v>
      </c>
      <c r="T26" s="8">
        <f>G26/($AN$5*AK26*0.001*Table1123245[[#This Row],[pho (%)]])</f>
        <v>8.1202555199927289E-7</v>
      </c>
      <c r="U26" s="8">
        <f>Table1123245[[#This Row],[M (KN.mm)]]/(Table1123245[[#This Row],[b (mm)]]*Table1123245[[#This Row],[d (mm)]]*Table1123245[[#This Row],[pho (%)]])</f>
        <v>1.9266791544019266</v>
      </c>
      <c r="V26" s="8">
        <f>E26*224.8/(2*SQRT(Table1123245[[#This Row],[fc (Mpa)]]*145.037)*Table1123245[[#This Row],[b (mm)]]*Table1123245[[#This Row],[d (mm)]]*(1/25.4)^2)</f>
        <v>0.48519504289294929</v>
      </c>
      <c r="W26" s="8">
        <f>Table1123245[[#This Row],[M (KN.mm)]]/$G$30</f>
        <v>0.51546391752577314</v>
      </c>
      <c r="X26" s="8">
        <f>E26*224.8/(2*SQRT(Table1123245[[#This Row],[fc (Mpa)]]*145.037)*Table1123245[[#This Row],[b (mm)]]*Table1123245[[#This Row],[d (mm)]]*(1/25.4)^2+Table1123245[[#This Row],[Av fy d/s (N)]]*0.2248)</f>
        <v>0.38225907680537385</v>
      </c>
      <c r="Y26" s="8">
        <v>0.4</v>
      </c>
      <c r="Z26" s="8">
        <f>Table1123245[[#This Row],[Av fy/(b S) (Mpa)]]*Table1123245[[#This Row],[d (mm)]]*Table1123245[[#This Row],[b (mm)]]</f>
        <v>111000</v>
      </c>
      <c r="AA26" s="8">
        <f>Table1123245[[#This Row],[d (mm)]]/300</f>
        <v>3.0833333333333335</v>
      </c>
      <c r="AB26" s="8">
        <f>Table1123245[[#This Row],[a/d]]*Table1123245[[#This Row],[d]]</f>
        <v>2700</v>
      </c>
      <c r="AC26" s="8">
        <f>Table1123245[[#This Row],[d]]</f>
        <v>925</v>
      </c>
      <c r="AD26" s="8">
        <v>1000</v>
      </c>
      <c r="AE26" s="5">
        <v>300</v>
      </c>
      <c r="AF26" s="15">
        <v>80</v>
      </c>
      <c r="AG26" s="8">
        <f>Table1123245[[#This Row],[pho (%)]]/100*Table1123245[[#This Row],[b (mm)]]*Table1123245[[#This Row],[d (mm)]]</f>
        <v>2802.75</v>
      </c>
      <c r="AH26" s="15">
        <v>1.01</v>
      </c>
      <c r="AI26" s="8">
        <v>508</v>
      </c>
      <c r="AJ26" s="8">
        <f>(1/3-0.21*(MIN(Table1123245[[#This Row],[b (mm)]],AD26)/MAX(Table1123245[[#This Row],[b (mm)]],AD26))*(MIN(Table1123245[[#This Row],[b (mm)]],AD26)^4/(12*MAX(Table1123245[[#This Row],[b (mm)]],AD26)^4)))*MAX(Table1123245[[#This Row],[b (mm)]],AD26)*MIN(Table1123245[[#This Row],[b (mm)]],AD26)^3</f>
        <v>8998851825</v>
      </c>
      <c r="AK26" s="8">
        <f>Table1123245[[#This Row],[b (mm)]]*AD26^3/12</f>
        <v>25000000000</v>
      </c>
      <c r="AL26" s="8">
        <v>6000</v>
      </c>
      <c r="AM26" s="12"/>
      <c r="AN26" s="12"/>
      <c r="AO26" s="12"/>
      <c r="AP26" s="1"/>
    </row>
    <row r="27" spans="1:42" s="10" customFormat="1" x14ac:dyDescent="0.25">
      <c r="A27" s="56" t="s">
        <v>130</v>
      </c>
      <c r="B27" s="15">
        <v>4</v>
      </c>
      <c r="C27" s="3">
        <v>26</v>
      </c>
      <c r="D27" s="64">
        <f>2700/Table1123245[[#This Row],[d]]</f>
        <v>2.9189189189189189</v>
      </c>
      <c r="E27" s="15">
        <v>250</v>
      </c>
      <c r="F27" s="3">
        <v>925</v>
      </c>
      <c r="G27" s="8">
        <f t="shared" si="12"/>
        <v>675000</v>
      </c>
      <c r="H27" s="8">
        <f t="shared" si="13"/>
        <v>1.025182259399082E-6</v>
      </c>
      <c r="I27" s="8">
        <f>G27/(Table1123245[[#This Row],[b (mm)]]*AC27^2)</f>
        <v>2.6296566837107379E-3</v>
      </c>
      <c r="J27" s="8">
        <f t="shared" si="14"/>
        <v>0.51252371632313432</v>
      </c>
      <c r="K27" s="8">
        <f t="shared" si="15"/>
        <v>8.8475547706781425E-7</v>
      </c>
      <c r="L27" s="8">
        <f>E27/(Table1123245[[#This Row],[b (mm)]]*AC27)</f>
        <v>9.0090090090090091E-4</v>
      </c>
      <c r="M27" s="8">
        <f>Table1123245[[#This Row],[M (KN.mm)]]/(Table1123245[[#This Row],[b (mm)]]*Table1123245[[#This Row],[d (mm)]])</f>
        <v>2.4324324324324325</v>
      </c>
      <c r="N27" s="8">
        <f>Table1123245[[#This Row],[M (KN.mm)]]/(Table1123245[[#This Row],[b (mm)]]*Table1123245[[#This Row],[h (mm)]])</f>
        <v>2.25</v>
      </c>
      <c r="O27" s="8">
        <f>Table1123245[[#This Row],[M (KN.mm)]]/(Table1123245[[#This Row],[b (mm)]]*Table1123245[[#This Row],[h (mm)]]*Table1123245[[#This Row],[L(mm)]])</f>
        <v>3.7500000000000001E-4</v>
      </c>
      <c r="P27" s="8">
        <f>Table1123245[[#This Row],[M (KN.mm)]]/(Table1123245[[#This Row],[b (mm)]]*Table1123245[[#This Row],[d (mm)]]*Table1123245[[#This Row],[L(mm)]])</f>
        <v>4.0540540540540538E-4</v>
      </c>
      <c r="Q27" s="8">
        <f>Table1123245[[#This Row],[M (KN.mm)]]/(Table1123245[[#This Row],[b (mm)]]*Table1123245[[#This Row],[h (mm)]]*Table1123245[[#This Row],[L(mm)]]*Table1123245[[#This Row],[fc (Mpa)]])</f>
        <v>4.6874999999999996E-6</v>
      </c>
      <c r="R27" s="8">
        <f>Table1123245[[#This Row],[M (KN.mm)]]/(Table1123245[[#This Row],[b (mm)]]*Table1123245[[#This Row],[h (mm)]]*Table1123245[[#This Row],[L(mm)]]/2)</f>
        <v>7.5000000000000002E-4</v>
      </c>
      <c r="S27" s="8">
        <f>Table1123245[[#This Row],[M (KN.mm)]]/(Table1123245[[#This Row],[a (mm)]]*Table1123245[[#This Row],[b (mm)]]*Table1123245[[#This Row],[h (mm)]]*Table1123245[[#This Row],[L(mm)]]/2)</f>
        <v>2.7777777777777776E-7</v>
      </c>
      <c r="T27" s="8">
        <f>G27/($AN$5*AK27*0.001*Table1123245[[#This Row],[pho (%)]])</f>
        <v>1.015031939999091E-6</v>
      </c>
      <c r="U27" s="8">
        <f>Table1123245[[#This Row],[M (KN.mm)]]/(Table1123245[[#This Row],[b (mm)]]*Table1123245[[#This Row],[d (mm)]]*Table1123245[[#This Row],[pho (%)]])</f>
        <v>2.4083489430024083</v>
      </c>
      <c r="V27" s="8">
        <f>E27*224.8/(2*SQRT(Table1123245[[#This Row],[fc (Mpa)]]*145.037)*Table1123245[[#This Row],[b (mm)]]*Table1123245[[#This Row],[d (mm)]]*(1/25.4)^2)</f>
        <v>0.60649380361618654</v>
      </c>
      <c r="W27" s="8">
        <f>Table1123245[[#This Row],[M (KN.mm)]]/$G$30</f>
        <v>0.64432989690721654</v>
      </c>
      <c r="X27" s="8">
        <f>E27*224.8/(2*SQRT(Table1123245[[#This Row],[fc (Mpa)]]*145.037)*Table1123245[[#This Row],[b (mm)]]*Table1123245[[#This Row],[d (mm)]]*(1/25.4)^2+Table1123245[[#This Row],[Av fy d/s (N)]]*0.2248)</f>
        <v>0.47782384600671729</v>
      </c>
      <c r="Y27" s="8">
        <v>0.4</v>
      </c>
      <c r="Z27" s="8">
        <f>Table1123245[[#This Row],[Av fy/(b S) (Mpa)]]*Table1123245[[#This Row],[d (mm)]]*Table1123245[[#This Row],[b (mm)]]</f>
        <v>111000</v>
      </c>
      <c r="AA27" s="8">
        <f>Table1123245[[#This Row],[d (mm)]]/300</f>
        <v>3.0833333333333335</v>
      </c>
      <c r="AB27" s="8">
        <f>Table1123245[[#This Row],[a/d]]*Table1123245[[#This Row],[d]]</f>
        <v>2700</v>
      </c>
      <c r="AC27" s="8">
        <f>Table1123245[[#This Row],[d]]</f>
        <v>925</v>
      </c>
      <c r="AD27" s="8">
        <v>1000</v>
      </c>
      <c r="AE27" s="5">
        <v>300</v>
      </c>
      <c r="AF27" s="15">
        <v>80</v>
      </c>
      <c r="AG27" s="8">
        <f>Table1123245[[#This Row],[pho (%)]]/100*Table1123245[[#This Row],[b (mm)]]*Table1123245[[#This Row],[d (mm)]]</f>
        <v>2802.75</v>
      </c>
      <c r="AH27" s="15">
        <v>1.01</v>
      </c>
      <c r="AI27" s="8">
        <v>508</v>
      </c>
      <c r="AJ27" s="8">
        <f>(1/3-0.21*(MIN(Table1123245[[#This Row],[b (mm)]],AD27)/MAX(Table1123245[[#This Row],[b (mm)]],AD27))*(MIN(Table1123245[[#This Row],[b (mm)]],AD27)^4/(12*MAX(Table1123245[[#This Row],[b (mm)]],AD27)^4)))*MAX(Table1123245[[#This Row],[b (mm)]],AD27)*MIN(Table1123245[[#This Row],[b (mm)]],AD27)^3</f>
        <v>8998851825</v>
      </c>
      <c r="AK27" s="8">
        <f>Table1123245[[#This Row],[b (mm)]]*AD27^3/12</f>
        <v>25000000000</v>
      </c>
      <c r="AL27" s="8">
        <v>6000</v>
      </c>
      <c r="AM27" s="12"/>
      <c r="AN27" s="12"/>
      <c r="AO27" s="12"/>
      <c r="AP27" s="1"/>
    </row>
    <row r="28" spans="1:42" s="10" customFormat="1" x14ac:dyDescent="0.25">
      <c r="A28" s="56" t="s">
        <v>130</v>
      </c>
      <c r="B28" s="15">
        <v>5</v>
      </c>
      <c r="C28" s="3">
        <v>27</v>
      </c>
      <c r="D28" s="64">
        <f>2700/Table1123245[[#This Row],[d]]</f>
        <v>2.9189189189189189</v>
      </c>
      <c r="E28" s="15">
        <v>300</v>
      </c>
      <c r="F28" s="3">
        <v>925</v>
      </c>
      <c r="G28" s="8">
        <f t="shared" si="12"/>
        <v>810000</v>
      </c>
      <c r="H28" s="8">
        <f t="shared" si="13"/>
        <v>1.2302187112788984E-6</v>
      </c>
      <c r="I28" s="8">
        <f>G28/(Table1123245[[#This Row],[b (mm)]]*AC28^2)</f>
        <v>3.1555880204528854E-3</v>
      </c>
      <c r="J28" s="8">
        <f t="shared" si="14"/>
        <v>0.6150284595877612</v>
      </c>
      <c r="K28" s="8">
        <f t="shared" si="15"/>
        <v>1.0617065724813771E-6</v>
      </c>
      <c r="L28" s="8">
        <f>E28/(Table1123245[[#This Row],[b (mm)]]*AC28)</f>
        <v>1.0810810810810811E-3</v>
      </c>
      <c r="M28" s="8">
        <f>Table1123245[[#This Row],[M (KN.mm)]]/(Table1123245[[#This Row],[b (mm)]]*Table1123245[[#This Row],[d (mm)]])</f>
        <v>2.9189189189189189</v>
      </c>
      <c r="N28" s="8">
        <f>Table1123245[[#This Row],[M (KN.mm)]]/(Table1123245[[#This Row],[b (mm)]]*Table1123245[[#This Row],[h (mm)]])</f>
        <v>2.7</v>
      </c>
      <c r="O28" s="8">
        <f>Table1123245[[#This Row],[M (KN.mm)]]/(Table1123245[[#This Row],[b (mm)]]*Table1123245[[#This Row],[h (mm)]]*Table1123245[[#This Row],[L(mm)]])</f>
        <v>4.4999999999999999E-4</v>
      </c>
      <c r="P28" s="8">
        <f>Table1123245[[#This Row],[M (KN.mm)]]/(Table1123245[[#This Row],[b (mm)]]*Table1123245[[#This Row],[d (mm)]]*Table1123245[[#This Row],[L(mm)]])</f>
        <v>4.8648648648648646E-4</v>
      </c>
      <c r="Q28" s="8">
        <f>Table1123245[[#This Row],[M (KN.mm)]]/(Table1123245[[#This Row],[b (mm)]]*Table1123245[[#This Row],[h (mm)]]*Table1123245[[#This Row],[L(mm)]]*Table1123245[[#This Row],[fc (Mpa)]])</f>
        <v>5.6250000000000004E-6</v>
      </c>
      <c r="R28" s="8">
        <f>Table1123245[[#This Row],[M (KN.mm)]]/(Table1123245[[#This Row],[b (mm)]]*Table1123245[[#This Row],[h (mm)]]*Table1123245[[#This Row],[L(mm)]]/2)</f>
        <v>8.9999999999999998E-4</v>
      </c>
      <c r="S28" s="8">
        <f>Table1123245[[#This Row],[M (KN.mm)]]/(Table1123245[[#This Row],[a (mm)]]*Table1123245[[#This Row],[b (mm)]]*Table1123245[[#This Row],[h (mm)]]*Table1123245[[#This Row],[L(mm)]]/2)</f>
        <v>3.3333333333333335E-7</v>
      </c>
      <c r="T28" s="8">
        <f>G28/($AN$5*AK28*0.001*Table1123245[[#This Row],[pho (%)]])</f>
        <v>1.2180383279989094E-6</v>
      </c>
      <c r="U28" s="8">
        <f>Table1123245[[#This Row],[M (KN.mm)]]/(Table1123245[[#This Row],[b (mm)]]*Table1123245[[#This Row],[d (mm)]]*Table1123245[[#This Row],[pho (%)]])</f>
        <v>2.8900187316028898</v>
      </c>
      <c r="V28" s="8">
        <f>E28*224.8/(2*SQRT(Table1123245[[#This Row],[fc (Mpa)]]*145.037)*Table1123245[[#This Row],[b (mm)]]*Table1123245[[#This Row],[d (mm)]]*(1/25.4)^2)</f>
        <v>0.72779256433942385</v>
      </c>
      <c r="W28" s="8">
        <f>Table1123245[[#This Row],[M (KN.mm)]]/$G$30</f>
        <v>0.77319587628865982</v>
      </c>
      <c r="X28" s="8">
        <f>E28*224.8/(2*SQRT(Table1123245[[#This Row],[fc (Mpa)]]*145.037)*Table1123245[[#This Row],[b (mm)]]*Table1123245[[#This Row],[d (mm)]]*(1/25.4)^2+Table1123245[[#This Row],[Av fy d/s (N)]]*0.2248)</f>
        <v>0.57338861520806073</v>
      </c>
      <c r="Y28" s="8">
        <v>0.4</v>
      </c>
      <c r="Z28" s="8">
        <f>Table1123245[[#This Row],[Av fy/(b S) (Mpa)]]*Table1123245[[#This Row],[d (mm)]]*Table1123245[[#This Row],[b (mm)]]</f>
        <v>111000</v>
      </c>
      <c r="AA28" s="8">
        <f>Table1123245[[#This Row],[d (mm)]]/300</f>
        <v>3.0833333333333335</v>
      </c>
      <c r="AB28" s="8">
        <f>Table1123245[[#This Row],[a/d]]*Table1123245[[#This Row],[d]]</f>
        <v>2700</v>
      </c>
      <c r="AC28" s="8">
        <f>Table1123245[[#This Row],[d]]</f>
        <v>925</v>
      </c>
      <c r="AD28" s="8">
        <v>1000</v>
      </c>
      <c r="AE28" s="5">
        <v>300</v>
      </c>
      <c r="AF28" s="15">
        <v>80</v>
      </c>
      <c r="AG28" s="8">
        <f>Table1123245[[#This Row],[pho (%)]]/100*Table1123245[[#This Row],[b (mm)]]*Table1123245[[#This Row],[d (mm)]]</f>
        <v>2802.75</v>
      </c>
      <c r="AH28" s="15">
        <v>1.01</v>
      </c>
      <c r="AI28" s="8">
        <v>508</v>
      </c>
      <c r="AJ28" s="8">
        <f>(1/3-0.21*(MIN(Table1123245[[#This Row],[b (mm)]],AD28)/MAX(Table1123245[[#This Row],[b (mm)]],AD28))*(MIN(Table1123245[[#This Row],[b (mm)]],AD28)^4/(12*MAX(Table1123245[[#This Row],[b (mm)]],AD28)^4)))*MAX(Table1123245[[#This Row],[b (mm)]],AD28)*MIN(Table1123245[[#This Row],[b (mm)]],AD28)^3</f>
        <v>8998851825</v>
      </c>
      <c r="AK28" s="8">
        <f>Table1123245[[#This Row],[b (mm)]]*AD28^3/12</f>
        <v>25000000000</v>
      </c>
      <c r="AL28" s="8">
        <v>6000</v>
      </c>
      <c r="AM28" s="12"/>
      <c r="AN28" s="12"/>
      <c r="AO28" s="12"/>
      <c r="AP28" s="1"/>
    </row>
    <row r="29" spans="1:42" s="10" customFormat="1" x14ac:dyDescent="0.25">
      <c r="A29" s="56" t="s">
        <v>130</v>
      </c>
      <c r="B29" s="15">
        <v>6</v>
      </c>
      <c r="C29" s="3">
        <v>28</v>
      </c>
      <c r="D29" s="64">
        <f>2700/Table1123245[[#This Row],[d]]</f>
        <v>2.9189189189189189</v>
      </c>
      <c r="E29" s="15">
        <v>350</v>
      </c>
      <c r="F29" s="3">
        <v>925</v>
      </c>
      <c r="G29" s="8">
        <f t="shared" si="12"/>
        <v>945000</v>
      </c>
      <c r="H29" s="8">
        <f t="shared" si="13"/>
        <v>1.4352551631587148E-6</v>
      </c>
      <c r="I29" s="8">
        <f>G29/(Table1123245[[#This Row],[b (mm)]]*AC29^2)</f>
        <v>3.681519357195033E-3</v>
      </c>
      <c r="J29" s="8">
        <f t="shared" si="14"/>
        <v>0.71753320285238809</v>
      </c>
      <c r="K29" s="8">
        <f t="shared" si="15"/>
        <v>1.2386576678949398E-6</v>
      </c>
      <c r="L29" s="8">
        <f>E29/(Table1123245[[#This Row],[b (mm)]]*AC29)</f>
        <v>1.2612612612612612E-3</v>
      </c>
      <c r="M29" s="8">
        <f>Table1123245[[#This Row],[M (KN.mm)]]/(Table1123245[[#This Row],[b (mm)]]*Table1123245[[#This Row],[d (mm)]])</f>
        <v>3.4054054054054053</v>
      </c>
      <c r="N29" s="8">
        <f>Table1123245[[#This Row],[M (KN.mm)]]/(Table1123245[[#This Row],[b (mm)]]*Table1123245[[#This Row],[h (mm)]])</f>
        <v>3.15</v>
      </c>
      <c r="O29" s="8">
        <f>Table1123245[[#This Row],[M (KN.mm)]]/(Table1123245[[#This Row],[b (mm)]]*Table1123245[[#This Row],[h (mm)]]*Table1123245[[#This Row],[L(mm)]])</f>
        <v>5.2499999999999997E-4</v>
      </c>
      <c r="P29" s="8">
        <f>Table1123245[[#This Row],[M (KN.mm)]]/(Table1123245[[#This Row],[b (mm)]]*Table1123245[[#This Row],[d (mm)]]*Table1123245[[#This Row],[L(mm)]])</f>
        <v>5.6756756756756754E-4</v>
      </c>
      <c r="Q29" s="8">
        <f>Table1123245[[#This Row],[M (KN.mm)]]/(Table1123245[[#This Row],[b (mm)]]*Table1123245[[#This Row],[h (mm)]]*Table1123245[[#This Row],[L(mm)]]*Table1123245[[#This Row],[fc (Mpa)]])</f>
        <v>6.5625000000000003E-6</v>
      </c>
      <c r="R29" s="8">
        <f>Table1123245[[#This Row],[M (KN.mm)]]/(Table1123245[[#This Row],[b (mm)]]*Table1123245[[#This Row],[h (mm)]]*Table1123245[[#This Row],[L(mm)]]/2)</f>
        <v>1.0499999999999999E-3</v>
      </c>
      <c r="S29" s="8">
        <f>Table1123245[[#This Row],[M (KN.mm)]]/(Table1123245[[#This Row],[a (mm)]]*Table1123245[[#This Row],[b (mm)]]*Table1123245[[#This Row],[h (mm)]]*Table1123245[[#This Row],[L(mm)]]/2)</f>
        <v>3.8888888888888889E-7</v>
      </c>
      <c r="T29" s="8">
        <f>G29/($AN$5*AK29*0.001*Table1123245[[#This Row],[pho (%)]])</f>
        <v>1.4210447159987276E-6</v>
      </c>
      <c r="U29" s="8">
        <f>Table1123245[[#This Row],[M (KN.mm)]]/(Table1123245[[#This Row],[b (mm)]]*Table1123245[[#This Row],[d (mm)]]*Table1123245[[#This Row],[pho (%)]])</f>
        <v>3.3716885202033717</v>
      </c>
      <c r="V29" s="8">
        <f>E29*224.8/(2*SQRT(Table1123245[[#This Row],[fc (Mpa)]]*145.037)*Table1123245[[#This Row],[b (mm)]]*Table1123245[[#This Row],[d (mm)]]*(1/25.4)^2)</f>
        <v>0.84909132506266127</v>
      </c>
      <c r="W29" s="8">
        <f>Table1123245[[#This Row],[M (KN.mm)]]/$G$30</f>
        <v>0.90206185567010311</v>
      </c>
      <c r="X29" s="8">
        <f>E29*224.8/(2*SQRT(Table1123245[[#This Row],[fc (Mpa)]]*145.037)*Table1123245[[#This Row],[b (mm)]]*Table1123245[[#This Row],[d (mm)]]*(1/25.4)^2+Table1123245[[#This Row],[Av fy d/s (N)]]*0.2248)</f>
        <v>0.66895338440940422</v>
      </c>
      <c r="Y29" s="8">
        <v>0.4</v>
      </c>
      <c r="Z29" s="8">
        <f>Table1123245[[#This Row],[Av fy/(b S) (Mpa)]]*Table1123245[[#This Row],[d (mm)]]*Table1123245[[#This Row],[b (mm)]]</f>
        <v>111000</v>
      </c>
      <c r="AA29" s="8">
        <f>Table1123245[[#This Row],[d (mm)]]/300</f>
        <v>3.0833333333333335</v>
      </c>
      <c r="AB29" s="8">
        <f>Table1123245[[#This Row],[a/d]]*Table1123245[[#This Row],[d]]</f>
        <v>2700</v>
      </c>
      <c r="AC29" s="8">
        <f>Table1123245[[#This Row],[d]]</f>
        <v>925</v>
      </c>
      <c r="AD29" s="8">
        <v>1000</v>
      </c>
      <c r="AE29" s="5">
        <v>300</v>
      </c>
      <c r="AF29" s="15">
        <v>80</v>
      </c>
      <c r="AG29" s="8">
        <f>Table1123245[[#This Row],[pho (%)]]/100*Table1123245[[#This Row],[b (mm)]]*Table1123245[[#This Row],[d (mm)]]</f>
        <v>2802.75</v>
      </c>
      <c r="AH29" s="15">
        <v>1.01</v>
      </c>
      <c r="AI29" s="8">
        <v>508</v>
      </c>
      <c r="AJ29" s="8">
        <f>(1/3-0.21*(MIN(Table1123245[[#This Row],[b (mm)]],AD29)/MAX(Table1123245[[#This Row],[b (mm)]],AD29))*(MIN(Table1123245[[#This Row],[b (mm)]],AD29)^4/(12*MAX(Table1123245[[#This Row],[b (mm)]],AD29)^4)))*MAX(Table1123245[[#This Row],[b (mm)]],AD29)*MIN(Table1123245[[#This Row],[b (mm)]],AD29)^3</f>
        <v>8998851825</v>
      </c>
      <c r="AK29" s="8">
        <f>Table1123245[[#This Row],[b (mm)]]*AD29^3/12</f>
        <v>25000000000</v>
      </c>
      <c r="AL29" s="8">
        <v>6000</v>
      </c>
      <c r="AM29" s="12"/>
      <c r="AN29" s="12"/>
      <c r="AO29" s="12"/>
      <c r="AP29" s="1"/>
    </row>
    <row r="30" spans="1:42" s="10" customFormat="1" x14ac:dyDescent="0.25">
      <c r="A30" s="56" t="s">
        <v>130</v>
      </c>
      <c r="B30" s="15">
        <v>7</v>
      </c>
      <c r="C30" s="3">
        <v>29</v>
      </c>
      <c r="D30" s="64">
        <f>2700/Table1123245[[#This Row],[d]]</f>
        <v>2.9189189189189189</v>
      </c>
      <c r="E30" s="15">
        <v>388</v>
      </c>
      <c r="F30" s="3">
        <v>925</v>
      </c>
      <c r="G30" s="8">
        <f t="shared" si="12"/>
        <v>1047600</v>
      </c>
      <c r="H30" s="8">
        <f t="shared" si="13"/>
        <v>1.5910828665873754E-6</v>
      </c>
      <c r="I30" s="8">
        <f>G30/(Table1123245[[#This Row],[b (mm)]]*AC30^2)</f>
        <v>4.0812271731190649E-3</v>
      </c>
      <c r="J30" s="8">
        <f t="shared" si="14"/>
        <v>0.79543680773350445</v>
      </c>
      <c r="K30" s="8">
        <f t="shared" si="15"/>
        <v>1.3731405004092478E-6</v>
      </c>
      <c r="L30" s="8">
        <f>E30/(Table1123245[[#This Row],[b (mm)]]*AC30)</f>
        <v>1.3981981981981981E-3</v>
      </c>
      <c r="M30" s="8">
        <f>Table1123245[[#This Row],[M (KN.mm)]]/(Table1123245[[#This Row],[b (mm)]]*Table1123245[[#This Row],[d (mm)]])</f>
        <v>3.7751351351351352</v>
      </c>
      <c r="N30" s="8">
        <f>Table1123245[[#This Row],[M (KN.mm)]]/(Table1123245[[#This Row],[b (mm)]]*Table1123245[[#This Row],[h (mm)]])</f>
        <v>3.492</v>
      </c>
      <c r="O30" s="8">
        <f>Table1123245[[#This Row],[M (KN.mm)]]/(Table1123245[[#This Row],[b (mm)]]*Table1123245[[#This Row],[h (mm)]]*Table1123245[[#This Row],[L(mm)]])</f>
        <v>5.8200000000000005E-4</v>
      </c>
      <c r="P30" s="8">
        <f>Table1123245[[#This Row],[M (KN.mm)]]/(Table1123245[[#This Row],[b (mm)]]*Table1123245[[#This Row],[d (mm)]]*Table1123245[[#This Row],[L(mm)]])</f>
        <v>6.2918918918918921E-4</v>
      </c>
      <c r="Q30" s="8">
        <f>Table1123245[[#This Row],[M (KN.mm)]]/(Table1123245[[#This Row],[b (mm)]]*Table1123245[[#This Row],[h (mm)]]*Table1123245[[#This Row],[L(mm)]]*Table1123245[[#This Row],[fc (Mpa)]])</f>
        <v>7.2749999999999998E-6</v>
      </c>
      <c r="R30" s="8">
        <f>Table1123245[[#This Row],[M (KN.mm)]]/(Table1123245[[#This Row],[b (mm)]]*Table1123245[[#This Row],[h (mm)]]*Table1123245[[#This Row],[L(mm)]]/2)</f>
        <v>1.1640000000000001E-3</v>
      </c>
      <c r="S30" s="8">
        <f>Table1123245[[#This Row],[M (KN.mm)]]/(Table1123245[[#This Row],[a (mm)]]*Table1123245[[#This Row],[b (mm)]]*Table1123245[[#This Row],[h (mm)]]*Table1123245[[#This Row],[L(mm)]]/2)</f>
        <v>4.3111111111111109E-7</v>
      </c>
      <c r="T30" s="8">
        <f>G30/($AN$5*AK30*0.001*Table1123245[[#This Row],[pho (%)]])</f>
        <v>1.5753295708785893E-6</v>
      </c>
      <c r="U30" s="8">
        <f>Table1123245[[#This Row],[M (KN.mm)]]/(Table1123245[[#This Row],[b (mm)]]*Table1123245[[#This Row],[d (mm)]]*Table1123245[[#This Row],[pho (%)]])</f>
        <v>3.7377575595397379</v>
      </c>
      <c r="V30" s="8">
        <f>E30*224.8/(2*SQRT(Table1123245[[#This Row],[fc (Mpa)]]*145.037)*Table1123245[[#This Row],[b (mm)]]*Table1123245[[#This Row],[d (mm)]]*(1/25.4)^2)</f>
        <v>0.94127838321232171</v>
      </c>
      <c r="W30" s="8">
        <f>Table1123245[[#This Row],[M (KN.mm)]]/$G$30</f>
        <v>1</v>
      </c>
      <c r="X30" s="8">
        <f>E30*224.8/(2*SQRT(Table1123245[[#This Row],[fc (Mpa)]]*145.037)*Table1123245[[#This Row],[b (mm)]]*Table1123245[[#This Row],[d (mm)]]*(1/25.4)^2+Table1123245[[#This Row],[Av fy d/s (N)]]*0.2248)</f>
        <v>0.74158260900242534</v>
      </c>
      <c r="Y30" s="8">
        <v>0.4</v>
      </c>
      <c r="Z30" s="8">
        <f>Table1123245[[#This Row],[Av fy/(b S) (Mpa)]]*Table1123245[[#This Row],[d (mm)]]*Table1123245[[#This Row],[b (mm)]]</f>
        <v>111000</v>
      </c>
      <c r="AA30" s="8">
        <f>Table1123245[[#This Row],[d (mm)]]/300</f>
        <v>3.0833333333333335</v>
      </c>
      <c r="AB30" s="8">
        <f>Table1123245[[#This Row],[a/d]]*Table1123245[[#This Row],[d]]</f>
        <v>2700</v>
      </c>
      <c r="AC30" s="8">
        <f>Table1123245[[#This Row],[d]]</f>
        <v>925</v>
      </c>
      <c r="AD30" s="8">
        <v>1000</v>
      </c>
      <c r="AE30" s="5">
        <v>300</v>
      </c>
      <c r="AF30" s="15">
        <v>80</v>
      </c>
      <c r="AG30" s="8">
        <f>Table1123245[[#This Row],[pho (%)]]/100*Table1123245[[#This Row],[b (mm)]]*Table1123245[[#This Row],[d (mm)]]</f>
        <v>2802.75</v>
      </c>
      <c r="AH30" s="15">
        <v>1.01</v>
      </c>
      <c r="AI30" s="8">
        <v>508</v>
      </c>
      <c r="AJ30" s="8">
        <f>(1/3-0.21*(MIN(Table1123245[[#This Row],[b (mm)]],AD30)/MAX(Table1123245[[#This Row],[b (mm)]],AD30))*(MIN(Table1123245[[#This Row],[b (mm)]],AD30)^4/(12*MAX(Table1123245[[#This Row],[b (mm)]],AD30)^4)))*MAX(Table1123245[[#This Row],[b (mm)]],AD30)*MIN(Table1123245[[#This Row],[b (mm)]],AD30)^3</f>
        <v>8998851825</v>
      </c>
      <c r="AK30" s="8">
        <f>Table1123245[[#This Row],[b (mm)]]*AD30^3/12</f>
        <v>25000000000</v>
      </c>
      <c r="AL30" s="8">
        <v>6000</v>
      </c>
      <c r="AM30" s="12"/>
      <c r="AN30" s="12"/>
      <c r="AO30" s="12"/>
      <c r="AP30" s="1"/>
    </row>
    <row r="31" spans="1:4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42" s="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42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42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42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42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42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42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42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42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42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42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42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42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42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4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1"/>
      <c r="AN49" s="1"/>
    </row>
    <row r="50" spans="1:4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1"/>
      <c r="AN50" s="1"/>
    </row>
    <row r="51" spans="1:4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1"/>
      <c r="AN51" s="1"/>
    </row>
    <row r="52" spans="1:4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1"/>
      <c r="AN52" s="1"/>
    </row>
    <row r="53" spans="1:4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1"/>
      <c r="AN53" s="1"/>
    </row>
    <row r="54" spans="1:4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1"/>
      <c r="AN54" s="1"/>
    </row>
    <row r="55" spans="1:4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1"/>
      <c r="AN55" s="1"/>
    </row>
    <row r="56" spans="1:4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1"/>
      <c r="AN56" s="1"/>
    </row>
    <row r="57" spans="1:4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1"/>
      <c r="AN57" s="1"/>
    </row>
    <row r="58" spans="1:4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1"/>
      <c r="AN58" s="1"/>
    </row>
    <row r="59" spans="1:4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1"/>
      <c r="AN59" s="1"/>
    </row>
    <row r="60" spans="1:4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1"/>
      <c r="AN60" s="1"/>
    </row>
    <row r="61" spans="1:4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1"/>
      <c r="AN61" s="1"/>
    </row>
    <row r="62" spans="1:4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1"/>
      <c r="AN62" s="1"/>
    </row>
    <row r="63" spans="1:4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1"/>
      <c r="AN63" s="1"/>
      <c r="AQ63" s="1"/>
    </row>
    <row r="64" spans="1:4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1"/>
      <c r="AN64" s="1"/>
      <c r="AQ64" s="1"/>
    </row>
    <row r="65" spans="1:4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"/>
      <c r="AN65" s="1"/>
      <c r="AQ65" s="1"/>
    </row>
    <row r="66" spans="1:4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 s="1"/>
      <c r="AN66" s="1"/>
    </row>
    <row r="67" spans="1:4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1"/>
      <c r="AN67" s="1"/>
    </row>
    <row r="68" spans="1:4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1"/>
      <c r="AN68" s="1"/>
    </row>
    <row r="69" spans="1:4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1"/>
      <c r="AN69" s="1"/>
    </row>
    <row r="70" spans="1:4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1"/>
      <c r="AN70" s="1"/>
    </row>
    <row r="71" spans="1:4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14"/>
      <c r="AN71" s="22"/>
      <c r="AO71" s="13"/>
      <c r="AP71" s="13"/>
    </row>
    <row r="72" spans="1:4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14"/>
      <c r="AN72" s="22"/>
      <c r="AO72" s="13"/>
      <c r="AP72" s="13"/>
    </row>
    <row r="73" spans="1:4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14"/>
      <c r="AN73" s="22"/>
      <c r="AO73" s="13"/>
      <c r="AP73" s="13"/>
    </row>
    <row r="74" spans="1:4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14"/>
      <c r="AN74" s="22"/>
      <c r="AO74" s="13"/>
      <c r="AP74" s="13"/>
    </row>
    <row r="75" spans="1:4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14"/>
      <c r="AN75" s="22"/>
      <c r="AO75" s="13"/>
      <c r="AP75" s="13"/>
    </row>
    <row r="76" spans="1:4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14"/>
      <c r="AN76" s="22"/>
      <c r="AO76" s="13"/>
      <c r="AP76" s="13"/>
    </row>
    <row r="77" spans="1:4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14"/>
      <c r="AN77" s="22"/>
      <c r="AO77" s="13"/>
      <c r="AP77" s="13"/>
    </row>
    <row r="78" spans="1:4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14"/>
      <c r="AN78" s="22"/>
      <c r="AO78" s="13"/>
      <c r="AP78" s="13"/>
    </row>
    <row r="79" spans="1:4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14"/>
      <c r="AN79" s="22"/>
      <c r="AO79" s="13"/>
      <c r="AP79" s="13"/>
    </row>
    <row r="80" spans="1:4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14"/>
      <c r="AN80" s="22"/>
      <c r="AO80" s="13"/>
      <c r="AP80" s="13"/>
    </row>
    <row r="81" spans="1:4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14"/>
      <c r="AN81" s="22"/>
      <c r="AO81" s="13"/>
      <c r="AP81" s="13"/>
    </row>
    <row r="82" spans="1:4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12"/>
      <c r="AN82" s="6"/>
    </row>
    <row r="83" spans="1:4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 s="12"/>
      <c r="AN83" s="6"/>
    </row>
    <row r="84" spans="1:4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 s="14"/>
      <c r="AN84" s="22"/>
      <c r="AO84" s="13"/>
      <c r="AP84" s="13"/>
    </row>
    <row r="85" spans="1:4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 s="14"/>
      <c r="AN85" s="22"/>
      <c r="AO85" s="13"/>
      <c r="AP85" s="13"/>
    </row>
    <row r="86" spans="1:4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 s="14"/>
      <c r="AN86" s="22"/>
      <c r="AO86" s="13"/>
      <c r="AP86" s="13"/>
    </row>
    <row r="87" spans="1:4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 s="14"/>
      <c r="AN87" s="22"/>
      <c r="AO87" s="13"/>
      <c r="AP87" s="13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Q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46"/>
  <sheetViews>
    <sheetView topLeftCell="B1" zoomScaleNormal="100" workbookViewId="0">
      <selection activeCell="T7" sqref="T7"/>
    </sheetView>
  </sheetViews>
  <sheetFormatPr defaultRowHeight="15" x14ac:dyDescent="0.25"/>
  <cols>
    <col min="1" max="1" width="10.7109375" style="2" customWidth="1"/>
    <col min="2" max="2" width="7" style="2" customWidth="1"/>
    <col min="3" max="3" width="7.42578125" style="2" customWidth="1"/>
    <col min="4" max="4" width="15" style="2" customWidth="1"/>
    <col min="5" max="5" width="10.85546875" style="2" customWidth="1"/>
    <col min="6" max="6" width="12.85546875" style="2" customWidth="1"/>
    <col min="7" max="7" width="12" style="2" customWidth="1"/>
    <col min="8" max="8" width="10.5703125" style="2" customWidth="1"/>
    <col min="9" max="9" width="10.85546875" style="2" customWidth="1"/>
    <col min="10" max="10" width="13.140625" style="2" customWidth="1"/>
    <col min="11" max="11" width="8.85546875" style="2" customWidth="1"/>
    <col min="12" max="12" width="8.42578125" style="2" customWidth="1"/>
    <col min="13" max="17" width="10" style="2" customWidth="1"/>
    <col min="18" max="21" width="14.7109375" style="2" customWidth="1"/>
    <col min="22" max="22" width="17.42578125" style="2" customWidth="1"/>
    <col min="23" max="23" width="17.85546875" style="2" customWidth="1"/>
    <col min="24" max="24" width="17.140625" style="2" customWidth="1"/>
    <col min="25" max="27" width="17.85546875" style="2" customWidth="1"/>
    <col min="28" max="28" width="9.42578125" style="2" customWidth="1"/>
    <col min="29" max="30" width="9.5703125" style="2" customWidth="1"/>
    <col min="31" max="31" width="10.7109375" style="2" customWidth="1"/>
    <col min="32" max="32" width="9.85546875" style="2" customWidth="1"/>
    <col min="33" max="33" width="12.5703125" style="2" customWidth="1"/>
    <col min="34" max="34" width="11.7109375" style="2" customWidth="1"/>
    <col min="35" max="35" width="11" style="2" customWidth="1"/>
    <col min="36" max="36" width="12.42578125" style="2" customWidth="1"/>
    <col min="37" max="38" width="14.28515625" style="2" customWidth="1"/>
    <col min="39" max="39" width="15.28515625" style="2" customWidth="1"/>
    <col min="40" max="40" width="15.7109375" style="2" customWidth="1"/>
    <col min="41" max="42" width="9.140625" style="1"/>
    <col min="43" max="16384" width="9.140625" style="2"/>
  </cols>
  <sheetData>
    <row r="1" spans="1:42" ht="80.25" customHeight="1" x14ac:dyDescent="0.25">
      <c r="A1" s="4" t="s">
        <v>25</v>
      </c>
      <c r="B1" s="4" t="s">
        <v>23</v>
      </c>
      <c r="C1" s="4" t="s">
        <v>24</v>
      </c>
      <c r="D1" s="4" t="s">
        <v>40</v>
      </c>
      <c r="E1" s="3" t="s">
        <v>19</v>
      </c>
      <c r="F1" s="4" t="s">
        <v>26</v>
      </c>
      <c r="G1" s="3" t="s">
        <v>18</v>
      </c>
      <c r="H1" s="3" t="s">
        <v>0</v>
      </c>
      <c r="I1" s="3" t="s">
        <v>9</v>
      </c>
      <c r="J1" s="3" t="s">
        <v>10</v>
      </c>
      <c r="K1" s="3" t="s">
        <v>16</v>
      </c>
      <c r="L1" s="3" t="s">
        <v>15</v>
      </c>
      <c r="M1" s="3" t="s">
        <v>21</v>
      </c>
      <c r="N1" s="3" t="s">
        <v>22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158</v>
      </c>
      <c r="U1" s="3" t="s">
        <v>38</v>
      </c>
      <c r="V1" s="3" t="s">
        <v>44</v>
      </c>
      <c r="W1" s="3" t="s">
        <v>39</v>
      </c>
      <c r="X1" s="26" t="s">
        <v>111</v>
      </c>
      <c r="Y1" s="26" t="s">
        <v>108</v>
      </c>
      <c r="Z1" s="26" t="s">
        <v>110</v>
      </c>
      <c r="AA1" s="55" t="s">
        <v>109</v>
      </c>
      <c r="AB1" s="3" t="s">
        <v>1</v>
      </c>
      <c r="AC1" s="3" t="s">
        <v>5</v>
      </c>
      <c r="AD1" s="3" t="s">
        <v>8</v>
      </c>
      <c r="AE1" s="3" t="s">
        <v>28</v>
      </c>
      <c r="AF1" s="3" t="s">
        <v>29</v>
      </c>
      <c r="AG1" s="3" t="s">
        <v>6</v>
      </c>
      <c r="AH1" s="3" t="s">
        <v>7</v>
      </c>
      <c r="AI1" s="3" t="s">
        <v>14</v>
      </c>
      <c r="AJ1" s="3" t="s">
        <v>11</v>
      </c>
      <c r="AK1" s="3" t="s">
        <v>13</v>
      </c>
      <c r="AL1" s="3" t="s">
        <v>30</v>
      </c>
      <c r="AM1" s="1" t="s">
        <v>20</v>
      </c>
      <c r="AN1" s="1" t="s">
        <v>27</v>
      </c>
      <c r="AO1" s="1" t="s">
        <v>32</v>
      </c>
      <c r="AP1" s="1" t="s">
        <v>37</v>
      </c>
    </row>
    <row r="2" spans="1:42" x14ac:dyDescent="0.25">
      <c r="A2" s="76" t="s">
        <v>146</v>
      </c>
      <c r="B2" s="27">
        <v>1</v>
      </c>
      <c r="C2" s="3">
        <v>1</v>
      </c>
      <c r="D2" s="64">
        <v>2.81</v>
      </c>
      <c r="E2" s="3">
        <v>175</v>
      </c>
      <c r="F2" s="3">
        <v>1925</v>
      </c>
      <c r="G2" s="8">
        <f>E2*AB2</f>
        <v>946618.75</v>
      </c>
      <c r="H2" s="8">
        <f>G2/($AN$5*AK2*0.001)</f>
        <v>1.7971421276195089E-7</v>
      </c>
      <c r="I2" s="8">
        <f>G2/(Table11232456[[#This Row],[b (mm)]]*AC2^2)</f>
        <v>8.5151515151515151E-4</v>
      </c>
      <c r="J2" s="8">
        <f>G2/(AG2*AI2*AC2*0.001)</f>
        <v>0.46561414671650891</v>
      </c>
      <c r="K2" s="8">
        <f>E2/($AN$4*AJ2*0.001)</f>
        <v>3.0962614592810103E-7</v>
      </c>
      <c r="L2" s="8">
        <f>E2/(Table11232456[[#This Row],[b (mm)]]*AC2)</f>
        <v>3.0303030303030303E-4</v>
      </c>
      <c r="M2" s="8">
        <f>Table11232456[[#This Row],[M (KN.mm)]]/(Table11232456[[#This Row],[b (mm)]]*Table11232456[[#This Row],[d (mm)]])</f>
        <v>1.6391666666666667</v>
      </c>
      <c r="N2" s="8">
        <f>Table11232456[[#This Row],[M (KN.mm)]]/(Table11232456[[#This Row],[b (mm)]]*Table11232456[[#This Row],[h (mm)]])</f>
        <v>1.5776979166666667</v>
      </c>
      <c r="O2" s="8">
        <f>Table11232456[[#This Row],[M (KN.mm)]]/(Table11232456[[#This Row],[b (mm)]]*Table11232456[[#This Row],[h (mm)]]*Table11232456[[#This Row],[L(mm)]])</f>
        <v>1.4583333333333335E-4</v>
      </c>
      <c r="P2" s="8">
        <f>Table11232456[[#This Row],[M (KN.mm)]]/(Table11232456[[#This Row],[b (mm)]]*Table11232456[[#This Row],[d (mm)]]*Table11232456[[#This Row],[L(mm)]])</f>
        <v>1.5151515151515152E-4</v>
      </c>
      <c r="Q2" s="8">
        <f>Table11232456[[#This Row],[M (KN.mm)]]/(Table11232456[[#This Row],[b (mm)]]*Table11232456[[#This Row],[h (mm)]]*Table11232456[[#This Row],[L(mm)]]*Table11232456[[#This Row],[fc (Mpa)]])</f>
        <v>5.1531213191990576E-6</v>
      </c>
      <c r="R2" s="8">
        <f>Table11232456[[#This Row],[M (KN.mm)]]/(Table11232456[[#This Row],[b (mm)]]*Table11232456[[#This Row],[h (mm)]]*Table11232456[[#This Row],[L(mm)]]/2)</f>
        <v>2.9166666666666669E-4</v>
      </c>
      <c r="S2" s="8">
        <f>Table11232456[[#This Row],[M (KN.mm)]]/(Table11232456[[#This Row],[a (mm)]]*Table11232456[[#This Row],[b (mm)]]*Table11232456[[#This Row],[h (mm)]]*Table11232456[[#This Row],[L(mm)]]/2)</f>
        <v>5.391998274560552E-8</v>
      </c>
      <c r="T2" s="8">
        <f>G2/($AN$5*AK2*0.001*Table11232456[[#This Row],[pho (%)]])</f>
        <v>4.9920614656097476E-7</v>
      </c>
      <c r="U2" s="8">
        <f>Table11232456[[#This Row],[M (KN.mm)]]/(Table11232456[[#This Row],[b (mm)]]*Table11232456[[#This Row],[d (mm)]]*Table11232456[[#This Row],[pho (%)]])</f>
        <v>4.5532407407407405</v>
      </c>
      <c r="V2" s="8">
        <f>E2*224.8/(2*SQRT(Table11232456[[#This Row],[fc (Mpa)]]*145.037)*Table11232456[[#This Row],[b (mm)]]*Table11232456[[#This Row],[d (mm)]]*(1/25.4)^2)</f>
        <v>0.34299452110029316</v>
      </c>
      <c r="W2" s="8">
        <f>Table11232456[[#This Row],[M (KN.mm)]]/$G$7</f>
        <v>0.5376344086021505</v>
      </c>
      <c r="X2" s="8">
        <f>E2*224.8/(2*SQRT(Table11232456[[#This Row],[fc (Mpa)]]*145.037)*Table11232456[[#This Row],[b (mm)]]*Table11232456[[#This Row],[d (mm)]]*(1/25.4)^2+Table11232456[[#This Row],[Av fy d/s (N)]]*0.2248)</f>
        <v>0.24971916173115685</v>
      </c>
      <c r="Y2" s="8">
        <v>0.33</v>
      </c>
      <c r="Z2" s="8">
        <f>Table11232456[[#This Row],[Av fy/(b S) (Mpa)]]*Table11232456[[#This Row],[d (mm)]]*Table11232456[[#This Row],[b (mm)]]</f>
        <v>190575</v>
      </c>
      <c r="AA2" s="8">
        <f>Table11232456[[#This Row],[d (mm)]]/1350</f>
        <v>1.4259259259259258</v>
      </c>
      <c r="AB2" s="8">
        <f>Table11232456[[#This Row],[a/d]]*Table11232456[[#This Row],[d]]</f>
        <v>5409.25</v>
      </c>
      <c r="AC2" s="8">
        <f>Table11232456[[#This Row],[d]]</f>
        <v>1925</v>
      </c>
      <c r="AD2" s="8">
        <v>2000</v>
      </c>
      <c r="AE2" s="5">
        <v>300</v>
      </c>
      <c r="AF2" s="5">
        <v>28.3</v>
      </c>
      <c r="AG2" s="8">
        <f>Table11232456[[#This Row],[pho (%)]]/100*Table11232456[[#This Row],[b (mm)]]*Table11232456[[#This Row],[d (mm)]]</f>
        <v>2079</v>
      </c>
      <c r="AH2" s="8">
        <v>0.36</v>
      </c>
      <c r="AI2" s="8">
        <v>508</v>
      </c>
      <c r="AJ2" s="8">
        <f>(1/3-0.21*(MIN(Table11232456[[#This Row],[b (mm)]],AD2)/MAX(Table11232456[[#This Row],[b (mm)]],AD2))*(MIN(Table11232456[[#This Row],[b (mm)]],AD2)^4/(12*MAX(Table11232456[[#This Row],[b (mm)]],AD2)^4)))*MAX(Table11232456[[#This Row],[b (mm)]],AD2)*MIN(Table11232456[[#This Row],[b (mm)]],AD2)^3</f>
        <v>17999928239.0625</v>
      </c>
      <c r="AK2" s="8">
        <f>Table11232456[[#This Row],[b (mm)]]*AD2^3/12</f>
        <v>200000000000</v>
      </c>
      <c r="AL2" s="8">
        <f>2*Table11232456[[#This Row],[a (mm)]]</f>
        <v>10818.5</v>
      </c>
      <c r="AM2" s="12" t="s">
        <v>17</v>
      </c>
      <c r="AN2" s="6">
        <v>1250</v>
      </c>
    </row>
    <row r="3" spans="1:42" x14ac:dyDescent="0.25">
      <c r="A3" s="76" t="s">
        <v>146</v>
      </c>
      <c r="B3" s="27">
        <v>2</v>
      </c>
      <c r="C3" s="15">
        <v>2</v>
      </c>
      <c r="D3" s="64">
        <v>2.81</v>
      </c>
      <c r="E3" s="15">
        <v>250</v>
      </c>
      <c r="F3" s="3">
        <v>1925</v>
      </c>
      <c r="G3" s="8">
        <f t="shared" ref="G3:G7" si="0">E3*AB3</f>
        <v>1352312.5</v>
      </c>
      <c r="H3" s="8">
        <f t="shared" ref="H3:H7" si="1">G3/($AN$5*AK3*0.001)</f>
        <v>2.5673458965992985E-7</v>
      </c>
      <c r="I3" s="8">
        <f>G3/(Table11232456[[#This Row],[b (mm)]]*AC3^2)</f>
        <v>1.2164502164502165E-3</v>
      </c>
      <c r="J3" s="8">
        <f t="shared" ref="J3:J7" si="2">G3/(AG3*AI3*AC3*0.001)</f>
        <v>0.66516306673786985</v>
      </c>
      <c r="K3" s="8">
        <f t="shared" ref="K3:K7" si="3">E3/($AN$4*AJ3*0.001)</f>
        <v>4.4232306561157288E-7</v>
      </c>
      <c r="L3" s="8">
        <f>E3/(Table11232456[[#This Row],[b (mm)]]*AC3)</f>
        <v>4.329004329004329E-4</v>
      </c>
      <c r="M3" s="8">
        <f>Table11232456[[#This Row],[M (KN.mm)]]/(Table11232456[[#This Row],[b (mm)]]*Table11232456[[#This Row],[d (mm)]])</f>
        <v>2.3416666666666668</v>
      </c>
      <c r="N3" s="8">
        <f>Table11232456[[#This Row],[M (KN.mm)]]/(Table11232456[[#This Row],[b (mm)]]*Table11232456[[#This Row],[h (mm)]])</f>
        <v>2.2538541666666667</v>
      </c>
      <c r="O3" s="8">
        <f>Table11232456[[#This Row],[M (KN.mm)]]/(Table11232456[[#This Row],[b (mm)]]*Table11232456[[#This Row],[h (mm)]]*Table11232456[[#This Row],[L(mm)]])</f>
        <v>2.0833333333333335E-4</v>
      </c>
      <c r="P3" s="8">
        <f>Table11232456[[#This Row],[M (KN.mm)]]/(Table11232456[[#This Row],[b (mm)]]*Table11232456[[#This Row],[d (mm)]]*Table11232456[[#This Row],[L(mm)]])</f>
        <v>2.1645021645021645E-4</v>
      </c>
      <c r="Q3" s="8">
        <f>Table11232456[[#This Row],[M (KN.mm)]]/(Table11232456[[#This Row],[b (mm)]]*Table11232456[[#This Row],[h (mm)]]*Table11232456[[#This Row],[L(mm)]]*Table11232456[[#This Row],[fc (Mpa)]])</f>
        <v>7.3616018845700824E-6</v>
      </c>
      <c r="R3" s="8">
        <f>Table11232456[[#This Row],[M (KN.mm)]]/(Table11232456[[#This Row],[b (mm)]]*Table11232456[[#This Row],[h (mm)]]*Table11232456[[#This Row],[L(mm)]]/2)</f>
        <v>4.1666666666666669E-4</v>
      </c>
      <c r="S3" s="8">
        <f>Table11232456[[#This Row],[M (KN.mm)]]/(Table11232456[[#This Row],[a (mm)]]*Table11232456[[#This Row],[b (mm)]]*Table11232456[[#This Row],[h (mm)]]*Table11232456[[#This Row],[L(mm)]]/2)</f>
        <v>7.7028546779436464E-8</v>
      </c>
      <c r="T3" s="8">
        <f>G3/($AN$5*AK3*0.001*Table11232456[[#This Row],[pho (%)]])</f>
        <v>7.1315163794424958E-7</v>
      </c>
      <c r="U3" s="8">
        <f>Table11232456[[#This Row],[M (KN.mm)]]/(Table11232456[[#This Row],[b (mm)]]*Table11232456[[#This Row],[d (mm)]]*Table11232456[[#This Row],[pho (%)]])</f>
        <v>6.5046296296296298</v>
      </c>
      <c r="V3" s="8">
        <f>E3*224.8/(2*SQRT(Table11232456[[#This Row],[fc (Mpa)]]*145.037)*Table11232456[[#This Row],[b (mm)]]*Table11232456[[#This Row],[d (mm)]]*(1/25.4)^2)</f>
        <v>0.48999217300041881</v>
      </c>
      <c r="W3" s="8">
        <f>Table11232456[[#This Row],[M (KN.mm)]]/$G$7</f>
        <v>0.76804915514592931</v>
      </c>
      <c r="X3" s="8">
        <f>E3*224.8/(2*SQRT(Table11232456[[#This Row],[fc (Mpa)]]*145.037)*Table11232456[[#This Row],[b (mm)]]*Table11232456[[#This Row],[d (mm)]]*(1/25.4)^2+Table11232456[[#This Row],[Av fy d/s (N)]]*0.2248)</f>
        <v>0.3567416596159384</v>
      </c>
      <c r="Y3" s="8">
        <v>0.33</v>
      </c>
      <c r="Z3" s="8">
        <f>Table11232456[[#This Row],[Av fy/(b S) (Mpa)]]*Table11232456[[#This Row],[d (mm)]]*Table11232456[[#This Row],[b (mm)]]</f>
        <v>190575</v>
      </c>
      <c r="AA3" s="8">
        <f>Table11232456[[#This Row],[d (mm)]]/1350</f>
        <v>1.4259259259259258</v>
      </c>
      <c r="AB3" s="8">
        <f>Table11232456[[#This Row],[a/d]]*Table11232456[[#This Row],[d]]</f>
        <v>5409.25</v>
      </c>
      <c r="AC3" s="8">
        <f>Table11232456[[#This Row],[d]]</f>
        <v>1925</v>
      </c>
      <c r="AD3" s="8">
        <v>2000</v>
      </c>
      <c r="AE3" s="5">
        <v>300</v>
      </c>
      <c r="AF3" s="5">
        <v>28.3</v>
      </c>
      <c r="AG3" s="8">
        <f>Table11232456[[#This Row],[pho (%)]]/100*Table11232456[[#This Row],[b (mm)]]*Table11232456[[#This Row],[d (mm)]]</f>
        <v>2079</v>
      </c>
      <c r="AH3" s="8">
        <v>0.36</v>
      </c>
      <c r="AI3" s="8">
        <v>508</v>
      </c>
      <c r="AJ3" s="8">
        <f>(1/3-0.21*(MIN(Table11232456[[#This Row],[b (mm)]],AD3)/MAX(Table11232456[[#This Row],[b (mm)]],AD3))*(MIN(Table11232456[[#This Row],[b (mm)]],AD3)^4/(12*MAX(Table11232456[[#This Row],[b (mm)]],AD3)^4)))*MAX(Table11232456[[#This Row],[b (mm)]],AD3)*MIN(Table11232456[[#This Row],[b (mm)]],AD3)^3</f>
        <v>17999928239.0625</v>
      </c>
      <c r="AK3" s="8">
        <f>Table11232456[[#This Row],[b (mm)]]*AD3^3/12</f>
        <v>200000000000</v>
      </c>
      <c r="AL3" s="15">
        <f>2*Table11232456[[#This Row],[a (mm)]]</f>
        <v>10818.5</v>
      </c>
      <c r="AM3" s="12" t="s">
        <v>2</v>
      </c>
      <c r="AN3" s="6">
        <v>200</v>
      </c>
    </row>
    <row r="4" spans="1:42" x14ac:dyDescent="0.25">
      <c r="A4" s="76" t="s">
        <v>146</v>
      </c>
      <c r="B4" s="27">
        <v>3</v>
      </c>
      <c r="C4" s="3">
        <v>3</v>
      </c>
      <c r="D4" s="64">
        <v>2.81</v>
      </c>
      <c r="E4" s="15">
        <v>275</v>
      </c>
      <c r="F4" s="3">
        <v>1925</v>
      </c>
      <c r="G4" s="8">
        <f t="shared" si="0"/>
        <v>1487543.75</v>
      </c>
      <c r="H4" s="8">
        <f t="shared" si="1"/>
        <v>2.8240804862592284E-7</v>
      </c>
      <c r="I4" s="8">
        <f>G4/(Table11232456[[#This Row],[b (mm)]]*AC4^2)</f>
        <v>1.3380952380952381E-3</v>
      </c>
      <c r="J4" s="8">
        <f t="shared" si="2"/>
        <v>0.7316793734116569</v>
      </c>
      <c r="K4" s="8">
        <f t="shared" si="3"/>
        <v>4.8655537217273017E-7</v>
      </c>
      <c r="L4" s="8">
        <f>E4/(Table11232456[[#This Row],[b (mm)]]*AC4)</f>
        <v>4.7619047619047619E-4</v>
      </c>
      <c r="M4" s="8">
        <f>Table11232456[[#This Row],[M (KN.mm)]]/(Table11232456[[#This Row],[b (mm)]]*Table11232456[[#This Row],[d (mm)]])</f>
        <v>2.5758333333333332</v>
      </c>
      <c r="N4" s="8">
        <f>Table11232456[[#This Row],[M (KN.mm)]]/(Table11232456[[#This Row],[b (mm)]]*Table11232456[[#This Row],[h (mm)]])</f>
        <v>2.4792395833333334</v>
      </c>
      <c r="O4" s="8">
        <f>Table11232456[[#This Row],[M (KN.mm)]]/(Table11232456[[#This Row],[b (mm)]]*Table11232456[[#This Row],[h (mm)]]*Table11232456[[#This Row],[L(mm)]])</f>
        <v>2.2916666666666666E-4</v>
      </c>
      <c r="P4" s="8">
        <f>Table11232456[[#This Row],[M (KN.mm)]]/(Table11232456[[#This Row],[b (mm)]]*Table11232456[[#This Row],[d (mm)]]*Table11232456[[#This Row],[L(mm)]])</f>
        <v>2.380952380952381E-4</v>
      </c>
      <c r="Q4" s="8">
        <f>Table11232456[[#This Row],[M (KN.mm)]]/(Table11232456[[#This Row],[b (mm)]]*Table11232456[[#This Row],[h (mm)]]*Table11232456[[#This Row],[L(mm)]]*Table11232456[[#This Row],[fc (Mpa)]])</f>
        <v>8.0977620730270912E-6</v>
      </c>
      <c r="R4" s="8">
        <f>Table11232456[[#This Row],[M (KN.mm)]]/(Table11232456[[#This Row],[b (mm)]]*Table11232456[[#This Row],[h (mm)]]*Table11232456[[#This Row],[L(mm)]]/2)</f>
        <v>4.5833333333333332E-4</v>
      </c>
      <c r="S4" s="8">
        <f>Table11232456[[#This Row],[M (KN.mm)]]/(Table11232456[[#This Row],[a (mm)]]*Table11232456[[#This Row],[b (mm)]]*Table11232456[[#This Row],[h (mm)]]*Table11232456[[#This Row],[L(mm)]]/2)</f>
        <v>8.4731401457380101E-8</v>
      </c>
      <c r="T4" s="8">
        <f>G4/($AN$5*AK4*0.001*Table11232456[[#This Row],[pho (%)]])</f>
        <v>7.8446680173867459E-7</v>
      </c>
      <c r="U4" s="8">
        <f>Table11232456[[#This Row],[M (KN.mm)]]/(Table11232456[[#This Row],[b (mm)]]*Table11232456[[#This Row],[d (mm)]]*Table11232456[[#This Row],[pho (%)]])</f>
        <v>7.1550925925925926</v>
      </c>
      <c r="V4" s="8">
        <f>E4*224.8/(2*SQRT(Table11232456[[#This Row],[fc (Mpa)]]*145.037)*Table11232456[[#This Row],[b (mm)]]*Table11232456[[#This Row],[d (mm)]]*(1/25.4)^2)</f>
        <v>0.53899139030046073</v>
      </c>
      <c r="W4" s="8">
        <f>Table11232456[[#This Row],[M (KN.mm)]]/$G$7</f>
        <v>0.84485407066052232</v>
      </c>
      <c r="X4" s="8">
        <f>E4*224.8/(2*SQRT(Table11232456[[#This Row],[fc (Mpa)]]*145.037)*Table11232456[[#This Row],[b (mm)]]*Table11232456[[#This Row],[d (mm)]]*(1/25.4)^2+Table11232456[[#This Row],[Av fy d/s (N)]]*0.2248)</f>
        <v>0.39241582557753224</v>
      </c>
      <c r="Y4" s="8">
        <v>0.33</v>
      </c>
      <c r="Z4" s="8">
        <f>Table11232456[[#This Row],[Av fy/(b S) (Mpa)]]*Table11232456[[#This Row],[d (mm)]]*Table11232456[[#This Row],[b (mm)]]</f>
        <v>190575</v>
      </c>
      <c r="AA4" s="8">
        <f>Table11232456[[#This Row],[d (mm)]]/1350</f>
        <v>1.4259259259259258</v>
      </c>
      <c r="AB4" s="8">
        <f>Table11232456[[#This Row],[a/d]]*Table11232456[[#This Row],[d]]</f>
        <v>5409.25</v>
      </c>
      <c r="AC4" s="8">
        <f>Table11232456[[#This Row],[d]]</f>
        <v>1925</v>
      </c>
      <c r="AD4" s="8">
        <v>2000</v>
      </c>
      <c r="AE4" s="5">
        <v>300</v>
      </c>
      <c r="AF4" s="5">
        <v>28.3</v>
      </c>
      <c r="AG4" s="8">
        <f>Table11232456[[#This Row],[pho (%)]]/100*Table11232456[[#This Row],[b (mm)]]*Table11232456[[#This Row],[d (mm)]]</f>
        <v>2079</v>
      </c>
      <c r="AH4" s="8">
        <v>0.36</v>
      </c>
      <c r="AI4" s="8">
        <v>508</v>
      </c>
      <c r="AJ4" s="8">
        <f>(1/3-0.21*(MIN(Table11232456[[#This Row],[b (mm)]],AD4)/MAX(Table11232456[[#This Row],[b (mm)]],AD4))*(MIN(Table11232456[[#This Row],[b (mm)]],AD4)^4/(12*MAX(Table11232456[[#This Row],[b (mm)]],AD4)^4)))*MAX(Table11232456[[#This Row],[b (mm)]],AD4)*MIN(Table11232456[[#This Row],[b (mm)]],AD4)^3</f>
        <v>17999928239.0625</v>
      </c>
      <c r="AK4" s="8">
        <f>Table11232456[[#This Row],[b (mm)]]*AD4^3/12</f>
        <v>200000000000</v>
      </c>
      <c r="AL4" s="15">
        <f>2*Table11232456[[#This Row],[a (mm)]]</f>
        <v>10818.5</v>
      </c>
      <c r="AM4" s="12" t="s">
        <v>3</v>
      </c>
      <c r="AN4" s="6">
        <v>31.4</v>
      </c>
    </row>
    <row r="5" spans="1:42" x14ac:dyDescent="0.25">
      <c r="A5" s="76" t="s">
        <v>146</v>
      </c>
      <c r="B5" s="27">
        <v>4</v>
      </c>
      <c r="C5" s="15">
        <v>4</v>
      </c>
      <c r="D5" s="64">
        <v>2.81</v>
      </c>
      <c r="E5" s="15">
        <v>298</v>
      </c>
      <c r="F5" s="3">
        <v>1925</v>
      </c>
      <c r="G5" s="8">
        <f t="shared" si="0"/>
        <v>1611956.5</v>
      </c>
      <c r="H5" s="8">
        <f t="shared" si="1"/>
        <v>3.0602763087463635E-7</v>
      </c>
      <c r="I5" s="8">
        <f>G5/(Table11232456[[#This Row],[b (mm)]]*AC5^2)</f>
        <v>1.450008658008658E-3</v>
      </c>
      <c r="J5" s="8">
        <f t="shared" si="2"/>
        <v>0.79287437555154083</v>
      </c>
      <c r="K5" s="8">
        <f t="shared" si="3"/>
        <v>5.2724909420899491E-7</v>
      </c>
      <c r="L5" s="8">
        <f>E5/(Table11232456[[#This Row],[b (mm)]]*AC5)</f>
        <v>5.1601731601731606E-4</v>
      </c>
      <c r="M5" s="8">
        <f>Table11232456[[#This Row],[M (KN.mm)]]/(Table11232456[[#This Row],[b (mm)]]*Table11232456[[#This Row],[d (mm)]])</f>
        <v>2.7912666666666666</v>
      </c>
      <c r="N5" s="8">
        <f>Table11232456[[#This Row],[M (KN.mm)]]/(Table11232456[[#This Row],[b (mm)]]*Table11232456[[#This Row],[h (mm)]])</f>
        <v>2.6865941666666666</v>
      </c>
      <c r="O5" s="8">
        <f>Table11232456[[#This Row],[M (KN.mm)]]/(Table11232456[[#This Row],[b (mm)]]*Table11232456[[#This Row],[h (mm)]]*Table11232456[[#This Row],[L(mm)]])</f>
        <v>2.4833333333333332E-4</v>
      </c>
      <c r="P5" s="8">
        <f>Table11232456[[#This Row],[M (KN.mm)]]/(Table11232456[[#This Row],[b (mm)]]*Table11232456[[#This Row],[d (mm)]]*Table11232456[[#This Row],[L(mm)]])</f>
        <v>2.5800865800865803E-4</v>
      </c>
      <c r="Q5" s="8">
        <f>Table11232456[[#This Row],[M (KN.mm)]]/(Table11232456[[#This Row],[b (mm)]]*Table11232456[[#This Row],[h (mm)]]*Table11232456[[#This Row],[L(mm)]]*Table11232456[[#This Row],[fc (Mpa)]])</f>
        <v>8.7750294464075382E-6</v>
      </c>
      <c r="R5" s="8">
        <f>Table11232456[[#This Row],[M (KN.mm)]]/(Table11232456[[#This Row],[b (mm)]]*Table11232456[[#This Row],[h (mm)]]*Table11232456[[#This Row],[L(mm)]]/2)</f>
        <v>4.9666666666666663E-4</v>
      </c>
      <c r="S5" s="8">
        <f>Table11232456[[#This Row],[M (KN.mm)]]/(Table11232456[[#This Row],[a (mm)]]*Table11232456[[#This Row],[b (mm)]]*Table11232456[[#This Row],[h (mm)]]*Table11232456[[#This Row],[L(mm)]]/2)</f>
        <v>9.181802776108826E-8</v>
      </c>
      <c r="T5" s="8">
        <f>G5/($AN$5*AK5*0.001*Table11232456[[#This Row],[pho (%)]])</f>
        <v>8.5007675242954552E-7</v>
      </c>
      <c r="U5" s="8">
        <f>Table11232456[[#This Row],[M (KN.mm)]]/(Table11232456[[#This Row],[b (mm)]]*Table11232456[[#This Row],[d (mm)]]*Table11232456[[#This Row],[pho (%)]])</f>
        <v>7.7535185185185185</v>
      </c>
      <c r="V5" s="8">
        <f>E5*224.8/(2*SQRT(Table11232456[[#This Row],[fc (Mpa)]]*145.037)*Table11232456[[#This Row],[b (mm)]]*Table11232456[[#This Row],[d (mm)]]*(1/25.4)^2)</f>
        <v>0.58407067021649928</v>
      </c>
      <c r="W5" s="8">
        <f>Table11232456[[#This Row],[M (KN.mm)]]/$G$7</f>
        <v>0.91551459293394777</v>
      </c>
      <c r="X5" s="8">
        <f>E5*224.8/(2*SQRT(Table11232456[[#This Row],[fc (Mpa)]]*145.037)*Table11232456[[#This Row],[b (mm)]]*Table11232456[[#This Row],[d (mm)]]*(1/25.4)^2+Table11232456[[#This Row],[Av fy d/s (N)]]*0.2248)</f>
        <v>0.42523605826219862</v>
      </c>
      <c r="Y5" s="8">
        <v>0.33</v>
      </c>
      <c r="Z5" s="8">
        <f>Table11232456[[#This Row],[Av fy/(b S) (Mpa)]]*Table11232456[[#This Row],[d (mm)]]*Table11232456[[#This Row],[b (mm)]]</f>
        <v>190575</v>
      </c>
      <c r="AA5" s="8">
        <f>Table11232456[[#This Row],[d (mm)]]/1350</f>
        <v>1.4259259259259258</v>
      </c>
      <c r="AB5" s="8">
        <f>Table11232456[[#This Row],[a/d]]*Table11232456[[#This Row],[d]]</f>
        <v>5409.25</v>
      </c>
      <c r="AC5" s="8">
        <f>Table11232456[[#This Row],[d]]</f>
        <v>1925</v>
      </c>
      <c r="AD5" s="8">
        <v>2000</v>
      </c>
      <c r="AE5" s="5">
        <v>300</v>
      </c>
      <c r="AF5" s="5">
        <v>28.3</v>
      </c>
      <c r="AG5" s="8">
        <f>Table11232456[[#This Row],[pho (%)]]/100*Table11232456[[#This Row],[b (mm)]]*Table11232456[[#This Row],[d (mm)]]</f>
        <v>2079</v>
      </c>
      <c r="AH5" s="8">
        <v>0.36</v>
      </c>
      <c r="AI5" s="8">
        <v>508</v>
      </c>
      <c r="AJ5" s="8">
        <f>(1/3-0.21*(MIN(Table11232456[[#This Row],[b (mm)]],AD5)/MAX(Table11232456[[#This Row],[b (mm)]],AD5))*(MIN(Table11232456[[#This Row],[b (mm)]],AD5)^4/(12*MAX(Table11232456[[#This Row],[b (mm)]],AD5)^4)))*MAX(Table11232456[[#This Row],[b (mm)]],AD5)*MIN(Table11232456[[#This Row],[b (mm)]],AD5)^3</f>
        <v>17999928239.0625</v>
      </c>
      <c r="AK5" s="8">
        <f>Table11232456[[#This Row],[b (mm)]]*AD5^3/12</f>
        <v>200000000000</v>
      </c>
      <c r="AL5" s="15">
        <f>2*Table11232456[[#This Row],[a (mm)]]</f>
        <v>10818.5</v>
      </c>
      <c r="AM5" s="12" t="s">
        <v>4</v>
      </c>
      <c r="AN5" s="6">
        <f>4700*SQRT(AN4)</f>
        <v>26336.780365109171</v>
      </c>
    </row>
    <row r="6" spans="1:42" x14ac:dyDescent="0.25">
      <c r="A6" s="76" t="s">
        <v>146</v>
      </c>
      <c r="B6" s="27">
        <v>5</v>
      </c>
      <c r="C6" s="3">
        <v>5</v>
      </c>
      <c r="D6" s="64">
        <v>2.81</v>
      </c>
      <c r="E6" s="15">
        <v>321</v>
      </c>
      <c r="F6" s="3">
        <v>1925</v>
      </c>
      <c r="G6" s="8">
        <f t="shared" si="0"/>
        <v>1736369.25</v>
      </c>
      <c r="H6" s="8">
        <f t="shared" si="1"/>
        <v>3.2964721312334991E-7</v>
      </c>
      <c r="I6" s="8">
        <f>G6/(Table11232456[[#This Row],[b (mm)]]*AC6^2)</f>
        <v>1.561922077922078E-3</v>
      </c>
      <c r="J6" s="8">
        <f t="shared" si="2"/>
        <v>0.85406937769142488</v>
      </c>
      <c r="K6" s="8">
        <f t="shared" si="3"/>
        <v>5.6794281624525954E-7</v>
      </c>
      <c r="L6" s="8">
        <f>E6/(Table11232456[[#This Row],[b (mm)]]*AC6)</f>
        <v>5.5584415584415583E-4</v>
      </c>
      <c r="M6" s="8">
        <f>Table11232456[[#This Row],[M (KN.mm)]]/(Table11232456[[#This Row],[b (mm)]]*Table11232456[[#This Row],[d (mm)]])</f>
        <v>3.0066999999999999</v>
      </c>
      <c r="N6" s="8">
        <f>Table11232456[[#This Row],[M (KN.mm)]]/(Table11232456[[#This Row],[b (mm)]]*Table11232456[[#This Row],[h (mm)]])</f>
        <v>2.8939487499999998</v>
      </c>
      <c r="O6" s="8">
        <f>Table11232456[[#This Row],[M (KN.mm)]]/(Table11232456[[#This Row],[b (mm)]]*Table11232456[[#This Row],[h (mm)]]*Table11232456[[#This Row],[L(mm)]])</f>
        <v>2.675E-4</v>
      </c>
      <c r="P6" s="8">
        <f>Table11232456[[#This Row],[M (KN.mm)]]/(Table11232456[[#This Row],[b (mm)]]*Table11232456[[#This Row],[d (mm)]]*Table11232456[[#This Row],[L(mm)]])</f>
        <v>2.7792207792207792E-4</v>
      </c>
      <c r="Q6" s="8">
        <f>Table11232456[[#This Row],[M (KN.mm)]]/(Table11232456[[#This Row],[b (mm)]]*Table11232456[[#This Row],[h (mm)]]*Table11232456[[#This Row],[L(mm)]]*Table11232456[[#This Row],[fc (Mpa)]])</f>
        <v>9.4522968197879851E-6</v>
      </c>
      <c r="R6" s="8">
        <f>Table11232456[[#This Row],[M (KN.mm)]]/(Table11232456[[#This Row],[b (mm)]]*Table11232456[[#This Row],[h (mm)]]*Table11232456[[#This Row],[L(mm)]]/2)</f>
        <v>5.3499999999999999E-4</v>
      </c>
      <c r="S6" s="8">
        <f>Table11232456[[#This Row],[M (KN.mm)]]/(Table11232456[[#This Row],[a (mm)]]*Table11232456[[#This Row],[b (mm)]]*Table11232456[[#This Row],[h (mm)]]*Table11232456[[#This Row],[L(mm)]]/2)</f>
        <v>9.8904654064796419E-8</v>
      </c>
      <c r="T6" s="8">
        <f>G6/($AN$5*AK6*0.001*Table11232456[[#This Row],[pho (%)]])</f>
        <v>9.1568670312041645E-7</v>
      </c>
      <c r="U6" s="8">
        <f>Table11232456[[#This Row],[M (KN.mm)]]/(Table11232456[[#This Row],[b (mm)]]*Table11232456[[#This Row],[d (mm)]]*Table11232456[[#This Row],[pho (%)]])</f>
        <v>8.3519444444444453</v>
      </c>
      <c r="V6" s="8">
        <f>E6*224.8/(2*SQRT(Table11232456[[#This Row],[fc (Mpa)]]*145.037)*Table11232456[[#This Row],[b (mm)]]*Table11232456[[#This Row],[d (mm)]]*(1/25.4)^2)</f>
        <v>0.62914995013253783</v>
      </c>
      <c r="W6" s="8">
        <f>Table11232456[[#This Row],[M (KN.mm)]]/$G$7</f>
        <v>0.98617511520737322</v>
      </c>
      <c r="X6" s="8">
        <f>E6*224.8/(2*SQRT(Table11232456[[#This Row],[fc (Mpa)]]*145.037)*Table11232456[[#This Row],[b (mm)]]*Table11232456[[#This Row],[d (mm)]]*(1/25.4)^2+Table11232456[[#This Row],[Av fy d/s (N)]]*0.2248)</f>
        <v>0.4580562909468649</v>
      </c>
      <c r="Y6" s="8">
        <v>0.33</v>
      </c>
      <c r="Z6" s="8">
        <f>Table11232456[[#This Row],[Av fy/(b S) (Mpa)]]*Table11232456[[#This Row],[d (mm)]]*Table11232456[[#This Row],[b (mm)]]</f>
        <v>190575</v>
      </c>
      <c r="AA6" s="8">
        <f>Table11232456[[#This Row],[d (mm)]]/1350</f>
        <v>1.4259259259259258</v>
      </c>
      <c r="AB6" s="8">
        <f>Table11232456[[#This Row],[a/d]]*Table11232456[[#This Row],[d]]</f>
        <v>5409.25</v>
      </c>
      <c r="AC6" s="8">
        <f>Table11232456[[#This Row],[d]]</f>
        <v>1925</v>
      </c>
      <c r="AD6" s="8">
        <v>2000</v>
      </c>
      <c r="AE6" s="5">
        <v>300</v>
      </c>
      <c r="AF6" s="5">
        <v>28.3</v>
      </c>
      <c r="AG6" s="8">
        <f>Table11232456[[#This Row],[pho (%)]]/100*Table11232456[[#This Row],[b (mm)]]*Table11232456[[#This Row],[d (mm)]]</f>
        <v>2079</v>
      </c>
      <c r="AH6" s="8">
        <v>0.36</v>
      </c>
      <c r="AI6" s="8">
        <v>508</v>
      </c>
      <c r="AJ6" s="8">
        <f>(1/3-0.21*(MIN(Table11232456[[#This Row],[b (mm)]],AD6)/MAX(Table11232456[[#This Row],[b (mm)]],AD6))*(MIN(Table11232456[[#This Row],[b (mm)]],AD6)^4/(12*MAX(Table11232456[[#This Row],[b (mm)]],AD6)^4)))*MAX(Table11232456[[#This Row],[b (mm)]],AD6)*MIN(Table11232456[[#This Row],[b (mm)]],AD6)^3</f>
        <v>17999928239.0625</v>
      </c>
      <c r="AK6" s="8">
        <f>Table11232456[[#This Row],[b (mm)]]*AD6^3/12</f>
        <v>200000000000</v>
      </c>
      <c r="AL6" s="15">
        <f>2*Table11232456[[#This Row],[a (mm)]]</f>
        <v>10818.5</v>
      </c>
      <c r="AM6" s="12" t="s">
        <v>12</v>
      </c>
      <c r="AN6" s="6">
        <f>AN5/(2*(1+0.15))</f>
        <v>11450.774071786596</v>
      </c>
    </row>
    <row r="7" spans="1:42" customFormat="1" x14ac:dyDescent="0.25">
      <c r="A7" s="76" t="s">
        <v>146</v>
      </c>
      <c r="B7" s="27">
        <v>6</v>
      </c>
      <c r="C7" s="15">
        <v>6</v>
      </c>
      <c r="D7" s="64">
        <v>2.81</v>
      </c>
      <c r="E7" s="15">
        <v>325.5</v>
      </c>
      <c r="F7" s="3">
        <v>1925</v>
      </c>
      <c r="G7" s="8">
        <f t="shared" si="0"/>
        <v>1760710.875</v>
      </c>
      <c r="H7" s="8">
        <f t="shared" si="1"/>
        <v>3.3426843573722865E-7</v>
      </c>
      <c r="I7" s="8">
        <f>G7/(Table11232456[[#This Row],[b (mm)]]*AC7^2)</f>
        <v>1.5838181818181819E-3</v>
      </c>
      <c r="J7" s="8">
        <f t="shared" si="2"/>
        <v>0.8660423128927065</v>
      </c>
      <c r="K7" s="8">
        <f t="shared" si="3"/>
        <v>5.7590463142626788E-7</v>
      </c>
      <c r="L7" s="8">
        <f>E7/(Table11232456[[#This Row],[b (mm)]]*AC7)</f>
        <v>5.636363636363636E-4</v>
      </c>
      <c r="M7" s="8">
        <f>Table11232456[[#This Row],[M (KN.mm)]]/(Table11232456[[#This Row],[b (mm)]]*Table11232456[[#This Row],[d (mm)]])</f>
        <v>3.0488499999999998</v>
      </c>
      <c r="N7" s="8">
        <f>Table11232456[[#This Row],[M (KN.mm)]]/(Table11232456[[#This Row],[b (mm)]]*Table11232456[[#This Row],[h (mm)]])</f>
        <v>2.9345181249999999</v>
      </c>
      <c r="O7" s="8">
        <f>Table11232456[[#This Row],[M (KN.mm)]]/(Table11232456[[#This Row],[b (mm)]]*Table11232456[[#This Row],[h (mm)]]*Table11232456[[#This Row],[L(mm)]])</f>
        <v>2.7125000000000001E-4</v>
      </c>
      <c r="P7" s="8">
        <f>Table11232456[[#This Row],[M (KN.mm)]]/(Table11232456[[#This Row],[b (mm)]]*Table11232456[[#This Row],[d (mm)]]*Table11232456[[#This Row],[L(mm)]])</f>
        <v>2.818181818181818E-4</v>
      </c>
      <c r="Q7" s="8">
        <f>Table11232456[[#This Row],[M (KN.mm)]]/(Table11232456[[#This Row],[b (mm)]]*Table11232456[[#This Row],[h (mm)]]*Table11232456[[#This Row],[L(mm)]]*Table11232456[[#This Row],[fc (Mpa)]])</f>
        <v>9.5848056537102475E-6</v>
      </c>
      <c r="R7" s="8">
        <f>Table11232456[[#This Row],[M (KN.mm)]]/(Table11232456[[#This Row],[b (mm)]]*Table11232456[[#This Row],[h (mm)]]*Table11232456[[#This Row],[L(mm)]]/2)</f>
        <v>5.4250000000000001E-4</v>
      </c>
      <c r="S7" s="8">
        <f>Table11232456[[#This Row],[M (KN.mm)]]/(Table11232456[[#This Row],[a (mm)]]*Table11232456[[#This Row],[b (mm)]]*Table11232456[[#This Row],[h (mm)]]*Table11232456[[#This Row],[L(mm)]]/2)</f>
        <v>1.0029116790682627E-7</v>
      </c>
      <c r="T7" s="8">
        <f>G7/($AN$5*AK7*0.001*Table11232456[[#This Row],[pho (%)]])</f>
        <v>9.28523432603413E-7</v>
      </c>
      <c r="U7" s="8">
        <f>Table11232456[[#This Row],[M (KN.mm)]]/(Table11232456[[#This Row],[b (mm)]]*Table11232456[[#This Row],[d (mm)]]*Table11232456[[#This Row],[pho (%)]])</f>
        <v>8.4690277777777769</v>
      </c>
      <c r="V7" s="8">
        <f>E7*224.8/(2*SQRT(Table11232456[[#This Row],[fc (Mpa)]]*145.037)*Table11232456[[#This Row],[b (mm)]]*Table11232456[[#This Row],[d (mm)]]*(1/25.4)^2)</f>
        <v>0.63796980924654545</v>
      </c>
      <c r="W7" s="8">
        <f>Table11232456[[#This Row],[M (KN.mm)]]/$G$7</f>
        <v>1</v>
      </c>
      <c r="X7" s="8">
        <f>E7*224.8/(2*SQRT(Table11232456[[#This Row],[fc (Mpa)]]*145.037)*Table11232456[[#This Row],[b (mm)]]*Table11232456[[#This Row],[d (mm)]]*(1/25.4)^2+Table11232456[[#This Row],[Av fy d/s (N)]]*0.2248)</f>
        <v>0.4644776408199518</v>
      </c>
      <c r="Y7" s="8">
        <v>0.33</v>
      </c>
      <c r="Z7" s="8">
        <f>Table11232456[[#This Row],[Av fy/(b S) (Mpa)]]*Table11232456[[#This Row],[d (mm)]]*Table11232456[[#This Row],[b (mm)]]</f>
        <v>190575</v>
      </c>
      <c r="AA7" s="8">
        <f>Table11232456[[#This Row],[d (mm)]]/1350</f>
        <v>1.4259259259259258</v>
      </c>
      <c r="AB7" s="8">
        <f>Table11232456[[#This Row],[a/d]]*Table11232456[[#This Row],[d]]</f>
        <v>5409.25</v>
      </c>
      <c r="AC7" s="8">
        <f>Table11232456[[#This Row],[d]]</f>
        <v>1925</v>
      </c>
      <c r="AD7" s="8">
        <v>2000</v>
      </c>
      <c r="AE7" s="5">
        <v>300</v>
      </c>
      <c r="AF7" s="5">
        <v>28.3</v>
      </c>
      <c r="AG7" s="8">
        <f>Table11232456[[#This Row],[pho (%)]]/100*Table11232456[[#This Row],[b (mm)]]*Table11232456[[#This Row],[d (mm)]]</f>
        <v>2079</v>
      </c>
      <c r="AH7" s="8">
        <v>0.36</v>
      </c>
      <c r="AI7" s="8">
        <v>508</v>
      </c>
      <c r="AJ7" s="8">
        <f>(1/3-0.21*(MIN(Table11232456[[#This Row],[b (mm)]],AD7)/MAX(Table11232456[[#This Row],[b (mm)]],AD7))*(MIN(Table11232456[[#This Row],[b (mm)]],AD7)^4/(12*MAX(Table11232456[[#This Row],[b (mm)]],AD7)^4)))*MAX(Table11232456[[#This Row],[b (mm)]],AD7)*MIN(Table11232456[[#This Row],[b (mm)]],AD7)^3</f>
        <v>17999928239.0625</v>
      </c>
      <c r="AK7" s="8">
        <f>Table11232456[[#This Row],[b (mm)]]*AD7^3/12</f>
        <v>200000000000</v>
      </c>
      <c r="AL7" s="15">
        <f>2*Table11232456[[#This Row],[a (mm)]]</f>
        <v>10818.5</v>
      </c>
    </row>
    <row r="8" spans="1:42" customFormat="1" x14ac:dyDescent="0.25">
      <c r="A8" s="25" t="s">
        <v>147</v>
      </c>
      <c r="B8" s="25">
        <v>1</v>
      </c>
      <c r="C8" s="3">
        <v>7</v>
      </c>
      <c r="D8" s="15">
        <v>2.92</v>
      </c>
      <c r="E8" s="15">
        <v>300</v>
      </c>
      <c r="F8" s="15">
        <v>1845</v>
      </c>
      <c r="G8" s="8">
        <f t="shared" ref="G8:G12" si="4">E8*AB8</f>
        <v>1616220</v>
      </c>
      <c r="H8" s="8">
        <f t="shared" ref="H8:H12" si="5">G8/($AN$5*AK8*0.001)</f>
        <v>3.0683705023814528E-7</v>
      </c>
      <c r="I8" s="8">
        <f>G8/(Table11232456[[#This Row],[b (mm)]]*AC8^2)</f>
        <v>1.5826558265582655E-3</v>
      </c>
      <c r="J8" s="8">
        <f t="shared" ref="J8:J12" si="6">G8/(AG8*AI8*AC8*0.001)</f>
        <v>0.20496475167818401</v>
      </c>
      <c r="K8" s="8">
        <f t="shared" ref="K8:K12" si="7">E8/($AN$4*AJ8*0.001)</f>
        <v>5.307876787338875E-7</v>
      </c>
      <c r="L8" s="8">
        <f>E8/(Table11232456[[#This Row],[b (mm)]]*AC8)</f>
        <v>5.4200542005420054E-4</v>
      </c>
      <c r="M8" s="8">
        <f>Table11232456[[#This Row],[M (KN.mm)]]/(Table11232456[[#This Row],[b (mm)]]*Table11232456[[#This Row],[d (mm)]])</f>
        <v>2.92</v>
      </c>
      <c r="N8" s="8">
        <f>Table11232456[[#This Row],[M (KN.mm)]]/(Table11232456[[#This Row],[b (mm)]]*Table11232456[[#This Row],[h (mm)]])</f>
        <v>2.6937000000000002</v>
      </c>
      <c r="O8" s="8">
        <f>Table11232456[[#This Row],[M (KN.mm)]]/(Table11232456[[#This Row],[b (mm)]]*Table11232456[[#This Row],[h (mm)]]*Table11232456[[#This Row],[L(mm)]])</f>
        <v>2.5000000000000001E-4</v>
      </c>
      <c r="P8" s="8">
        <f>Table11232456[[#This Row],[M (KN.mm)]]/(Table11232456[[#This Row],[b (mm)]]*Table11232456[[#This Row],[d (mm)]]*Table11232456[[#This Row],[L(mm)]])</f>
        <v>2.7100271002710027E-4</v>
      </c>
      <c r="Q8" s="8">
        <f>Table11232456[[#This Row],[M (KN.mm)]]/(Table11232456[[#This Row],[b (mm)]]*Table11232456[[#This Row],[h (mm)]]*Table11232456[[#This Row],[L(mm)]]*Table11232456[[#This Row],[fc (Mpa)]])</f>
        <v>9.5419847328244277E-6</v>
      </c>
      <c r="R8" s="8">
        <f>Table11232456[[#This Row],[M (KN.mm)]]/(Table11232456[[#This Row],[b (mm)]]*Table11232456[[#This Row],[h (mm)]]*Table11232456[[#This Row],[L(mm)]]/2)</f>
        <v>5.0000000000000001E-4</v>
      </c>
      <c r="S8" s="8">
        <f>Table11232456[[#This Row],[M (KN.mm)]]/(Table11232456[[#This Row],[a (mm)]]*Table11232456[[#This Row],[b (mm)]]*Table11232456[[#This Row],[h (mm)]]*Table11232456[[#This Row],[L(mm)]]/2)</f>
        <v>9.2809147269554893E-8</v>
      </c>
      <c r="T8" s="8">
        <f>G8/($AN$5*AK8*0.001*Table11232456[[#This Row],[pho (%)]])</f>
        <v>2.0186648041983242E-7</v>
      </c>
      <c r="U8" s="8">
        <f>Table11232456[[#This Row],[M (KN.mm)]]/(Table11232456[[#This Row],[b (mm)]]*Table11232456[[#This Row],[d (mm)]]*Table11232456[[#This Row],[pho (%)]])</f>
        <v>1.9210526315789473</v>
      </c>
      <c r="V8" s="8">
        <f>E8*224.8/(2*SQRT(Table11232456[[#This Row],[fc (Mpa)]]*145.037)*Table11232456[[#This Row],[b (mm)]]*Table11232456[[#This Row],[d (mm)]]*(1/25.4)^2)</f>
        <v>0.63759855520949815</v>
      </c>
      <c r="W8" s="8">
        <f>Table11232456[[#This Row],[M (KN.mm)]]/$G$12</f>
        <v>0.48979591836734693</v>
      </c>
      <c r="X8" s="8">
        <f>E8*224.8/(2*SQRT(Table11232456[[#This Row],[fc (Mpa)]]*145.037)*Table11232456[[#This Row],[b (mm)]]*Table11232456[[#This Row],[d (mm)]]*(1/25.4)^2+Table11232456[[#This Row],[Av fy d/s (N)]]*0.2248)</f>
        <v>0.45929814981496564</v>
      </c>
      <c r="Y8" s="8">
        <v>0.33</v>
      </c>
      <c r="Z8" s="8">
        <f>Table11232456[[#This Row],[Av fy/(b S) (Mpa)]]*Table11232456[[#This Row],[d (mm)]]*Table11232456[[#This Row],[b (mm)]]</f>
        <v>182655</v>
      </c>
      <c r="AA8" s="8">
        <f>Table11232456[[#This Row],[d (mm)]]/1350</f>
        <v>1.3666666666666667</v>
      </c>
      <c r="AB8" s="8">
        <f>Table11232456[[#This Row],[a/d]]*Table11232456[[#This Row],[d]]</f>
        <v>5387.4</v>
      </c>
      <c r="AC8" s="8">
        <f>Table11232456[[#This Row],[d]]</f>
        <v>1845</v>
      </c>
      <c r="AD8" s="8">
        <v>2000</v>
      </c>
      <c r="AE8" s="5">
        <v>300</v>
      </c>
      <c r="AF8" s="15">
        <v>26.2</v>
      </c>
      <c r="AG8" s="8">
        <f>Table11232456[[#This Row],[pho (%)]]/100*Table11232456[[#This Row],[b (mm)]]*Table11232456[[#This Row],[d (mm)]]</f>
        <v>8413.1999999999989</v>
      </c>
      <c r="AH8" s="15">
        <v>1.52</v>
      </c>
      <c r="AI8" s="8">
        <v>508</v>
      </c>
      <c r="AJ8" s="8">
        <f>(1/3-0.21*(MIN(Table11232456[[#This Row],[b (mm)]],AD8)/MAX(Table11232456[[#This Row],[b (mm)]],AD8))*(MIN(Table11232456[[#This Row],[b (mm)]],AD8)^4/(12*MAX(Table11232456[[#This Row],[b (mm)]],AD8)^4)))*MAX(Table11232456[[#This Row],[b (mm)]],AD8)*MIN(Table11232456[[#This Row],[b (mm)]],AD8)^3</f>
        <v>17999928239.0625</v>
      </c>
      <c r="AK8" s="8">
        <f>Table11232456[[#This Row],[b (mm)]]*AD8^3/12</f>
        <v>200000000000</v>
      </c>
      <c r="AL8" s="15">
        <f>2*Table11232456[[#This Row],[a (mm)]]</f>
        <v>10774.8</v>
      </c>
    </row>
    <row r="9" spans="1:42" x14ac:dyDescent="0.25">
      <c r="A9" s="25" t="s">
        <v>147</v>
      </c>
      <c r="B9" s="25">
        <v>2</v>
      </c>
      <c r="C9" s="15">
        <v>8</v>
      </c>
      <c r="D9" s="15">
        <v>2.92</v>
      </c>
      <c r="E9" s="15">
        <v>400</v>
      </c>
      <c r="F9" s="15">
        <v>1845</v>
      </c>
      <c r="G9" s="8">
        <f t="shared" si="4"/>
        <v>2154960</v>
      </c>
      <c r="H9" s="8">
        <f t="shared" si="5"/>
        <v>4.091160669841937E-7</v>
      </c>
      <c r="I9" s="8">
        <f>G9/(Table11232456[[#This Row],[b (mm)]]*AC9^2)</f>
        <v>2.110207768744354E-3</v>
      </c>
      <c r="J9" s="8">
        <f t="shared" si="6"/>
        <v>0.27328633557091203</v>
      </c>
      <c r="K9" s="8">
        <f t="shared" si="7"/>
        <v>7.0771690497851663E-7</v>
      </c>
      <c r="L9" s="8">
        <f>E9/(Table11232456[[#This Row],[b (mm)]]*AC9)</f>
        <v>7.2267389340560076E-4</v>
      </c>
      <c r="M9" s="8">
        <f>Table11232456[[#This Row],[M (KN.mm)]]/(Table11232456[[#This Row],[b (mm)]]*Table11232456[[#This Row],[d (mm)]])</f>
        <v>3.8933333333333335</v>
      </c>
      <c r="N9" s="8">
        <f>Table11232456[[#This Row],[M (KN.mm)]]/(Table11232456[[#This Row],[b (mm)]]*Table11232456[[#This Row],[h (mm)]])</f>
        <v>3.5916000000000001</v>
      </c>
      <c r="O9" s="8">
        <f>Table11232456[[#This Row],[M (KN.mm)]]/(Table11232456[[#This Row],[b (mm)]]*Table11232456[[#This Row],[h (mm)]]*Table11232456[[#This Row],[L(mm)]])</f>
        <v>3.3333333333333332E-4</v>
      </c>
      <c r="P9" s="8">
        <f>Table11232456[[#This Row],[M (KN.mm)]]/(Table11232456[[#This Row],[b (mm)]]*Table11232456[[#This Row],[d (mm)]]*Table11232456[[#This Row],[L(mm)]])</f>
        <v>3.6133694670280038E-4</v>
      </c>
      <c r="Q9" s="8">
        <f>Table11232456[[#This Row],[M (KN.mm)]]/(Table11232456[[#This Row],[b (mm)]]*Table11232456[[#This Row],[h (mm)]]*Table11232456[[#This Row],[L(mm)]]*Table11232456[[#This Row],[fc (Mpa)]])</f>
        <v>1.2722646310432569E-5</v>
      </c>
      <c r="R9" s="8">
        <f>Table11232456[[#This Row],[M (KN.mm)]]/(Table11232456[[#This Row],[b (mm)]]*Table11232456[[#This Row],[h (mm)]]*Table11232456[[#This Row],[L(mm)]]/2)</f>
        <v>6.6666666666666664E-4</v>
      </c>
      <c r="S9" s="8">
        <f>Table11232456[[#This Row],[M (KN.mm)]]/(Table11232456[[#This Row],[a (mm)]]*Table11232456[[#This Row],[b (mm)]]*Table11232456[[#This Row],[h (mm)]]*Table11232456[[#This Row],[L(mm)]]/2)</f>
        <v>1.2374552969273987E-7</v>
      </c>
      <c r="T9" s="8">
        <f>G9/($AN$5*AK9*0.001*Table11232456[[#This Row],[pho (%)]])</f>
        <v>2.6915530722644323E-7</v>
      </c>
      <c r="U9" s="8">
        <f>Table11232456[[#This Row],[M (KN.mm)]]/(Table11232456[[#This Row],[b (mm)]]*Table11232456[[#This Row],[d (mm)]]*Table11232456[[#This Row],[pho (%)]])</f>
        <v>2.5614035087719298</v>
      </c>
      <c r="V9" s="8">
        <f>E9*224.8/(2*SQRT(Table11232456[[#This Row],[fc (Mpa)]]*145.037)*Table11232456[[#This Row],[b (mm)]]*Table11232456[[#This Row],[d (mm)]]*(1/25.4)^2)</f>
        <v>0.85013140694599754</v>
      </c>
      <c r="W9" s="8">
        <f>Table11232456[[#This Row],[M (KN.mm)]]/$G$12</f>
        <v>0.65306122448979587</v>
      </c>
      <c r="X9" s="8">
        <f>E9*224.8/(2*SQRT(Table11232456[[#This Row],[fc (Mpa)]]*145.037)*Table11232456[[#This Row],[b (mm)]]*Table11232456[[#This Row],[d (mm)]]*(1/25.4)^2+Table11232456[[#This Row],[Av fy d/s (N)]]*0.2248)</f>
        <v>0.61239753308662082</v>
      </c>
      <c r="Y9" s="8">
        <v>0.33</v>
      </c>
      <c r="Z9" s="8">
        <f>Table11232456[[#This Row],[Av fy/(b S) (Mpa)]]*Table11232456[[#This Row],[d (mm)]]*Table11232456[[#This Row],[b (mm)]]</f>
        <v>182655</v>
      </c>
      <c r="AA9" s="8">
        <f>Table11232456[[#This Row],[d (mm)]]/1350</f>
        <v>1.3666666666666667</v>
      </c>
      <c r="AB9" s="8">
        <f>Table11232456[[#This Row],[a/d]]*Table11232456[[#This Row],[d]]</f>
        <v>5387.4</v>
      </c>
      <c r="AC9" s="8">
        <f>Table11232456[[#This Row],[d]]</f>
        <v>1845</v>
      </c>
      <c r="AD9" s="8">
        <v>2000</v>
      </c>
      <c r="AE9" s="5">
        <v>300</v>
      </c>
      <c r="AF9" s="15">
        <v>26.2</v>
      </c>
      <c r="AG9" s="8">
        <f>Table11232456[[#This Row],[pho (%)]]/100*Table11232456[[#This Row],[b (mm)]]*Table11232456[[#This Row],[d (mm)]]</f>
        <v>8413.1999999999989</v>
      </c>
      <c r="AH9" s="15">
        <v>1.52</v>
      </c>
      <c r="AI9" s="8">
        <v>508</v>
      </c>
      <c r="AJ9" s="8">
        <f>(1/3-0.21*(MIN(Table11232456[[#This Row],[b (mm)]],AD9)/MAX(Table11232456[[#This Row],[b (mm)]],AD9))*(MIN(Table11232456[[#This Row],[b (mm)]],AD9)^4/(12*MAX(Table11232456[[#This Row],[b (mm)]],AD9)^4)))*MAX(Table11232456[[#This Row],[b (mm)]],AD9)*MIN(Table11232456[[#This Row],[b (mm)]],AD9)^3</f>
        <v>17999928239.0625</v>
      </c>
      <c r="AK9" s="8">
        <f>Table11232456[[#This Row],[b (mm)]]*AD9^3/12</f>
        <v>200000000000</v>
      </c>
      <c r="AL9" s="15">
        <f>2*Table11232456[[#This Row],[a (mm)]]</f>
        <v>10774.8</v>
      </c>
      <c r="AM9" s="12"/>
      <c r="AN9" s="6"/>
    </row>
    <row r="10" spans="1:42" x14ac:dyDescent="0.25">
      <c r="A10" s="25" t="s">
        <v>147</v>
      </c>
      <c r="B10" s="25">
        <v>3</v>
      </c>
      <c r="C10" s="3">
        <v>9</v>
      </c>
      <c r="D10" s="15">
        <v>2.92</v>
      </c>
      <c r="E10" s="15">
        <v>500</v>
      </c>
      <c r="F10" s="15">
        <v>1845</v>
      </c>
      <c r="G10" s="8">
        <f t="shared" si="4"/>
        <v>2693700</v>
      </c>
      <c r="H10" s="8">
        <f t="shared" si="5"/>
        <v>5.1139508373024208E-7</v>
      </c>
      <c r="I10" s="8">
        <f>G10/(Table11232456[[#This Row],[b (mm)]]*AC10^2)</f>
        <v>2.6377597109304425E-3</v>
      </c>
      <c r="J10" s="8">
        <f t="shared" si="6"/>
        <v>0.34160791946364</v>
      </c>
      <c r="K10" s="8">
        <f t="shared" si="7"/>
        <v>8.8464613122314577E-7</v>
      </c>
      <c r="L10" s="8">
        <f>E10/(Table11232456[[#This Row],[b (mm)]]*AC10)</f>
        <v>9.0334236675700087E-4</v>
      </c>
      <c r="M10" s="8">
        <f>Table11232456[[#This Row],[M (KN.mm)]]/(Table11232456[[#This Row],[b (mm)]]*Table11232456[[#This Row],[d (mm)]])</f>
        <v>4.8666666666666663</v>
      </c>
      <c r="N10" s="8">
        <f>Table11232456[[#This Row],[M (KN.mm)]]/(Table11232456[[#This Row],[b (mm)]]*Table11232456[[#This Row],[h (mm)]])</f>
        <v>4.4894999999999996</v>
      </c>
      <c r="O10" s="8">
        <f>Table11232456[[#This Row],[M (KN.mm)]]/(Table11232456[[#This Row],[b (mm)]]*Table11232456[[#This Row],[h (mm)]]*Table11232456[[#This Row],[L(mm)]])</f>
        <v>4.1666666666666669E-4</v>
      </c>
      <c r="P10" s="8">
        <f>Table11232456[[#This Row],[M (KN.mm)]]/(Table11232456[[#This Row],[b (mm)]]*Table11232456[[#This Row],[d (mm)]]*Table11232456[[#This Row],[L(mm)]])</f>
        <v>4.5167118337850043E-4</v>
      </c>
      <c r="Q10" s="8">
        <f>Table11232456[[#This Row],[M (KN.mm)]]/(Table11232456[[#This Row],[b (mm)]]*Table11232456[[#This Row],[h (mm)]]*Table11232456[[#This Row],[L(mm)]]*Table11232456[[#This Row],[fc (Mpa)]])</f>
        <v>1.5903307888040712E-5</v>
      </c>
      <c r="R10" s="8">
        <f>Table11232456[[#This Row],[M (KN.mm)]]/(Table11232456[[#This Row],[b (mm)]]*Table11232456[[#This Row],[h (mm)]]*Table11232456[[#This Row],[L(mm)]]/2)</f>
        <v>8.3333333333333339E-4</v>
      </c>
      <c r="S10" s="8">
        <f>Table11232456[[#This Row],[M (KN.mm)]]/(Table11232456[[#This Row],[a (mm)]]*Table11232456[[#This Row],[b (mm)]]*Table11232456[[#This Row],[h (mm)]]*Table11232456[[#This Row],[L(mm)]]/2)</f>
        <v>1.5468191211592483E-7</v>
      </c>
      <c r="T10" s="8">
        <f>G10/($AN$5*AK10*0.001*Table11232456[[#This Row],[pho (%)]])</f>
        <v>3.3644413403305401E-7</v>
      </c>
      <c r="U10" s="8">
        <f>Table11232456[[#This Row],[M (KN.mm)]]/(Table11232456[[#This Row],[b (mm)]]*Table11232456[[#This Row],[d (mm)]]*Table11232456[[#This Row],[pho (%)]])</f>
        <v>3.2017543859649122</v>
      </c>
      <c r="V10" s="8">
        <f>E10*224.8/(2*SQRT(Table11232456[[#This Row],[fc (Mpa)]]*145.037)*Table11232456[[#This Row],[b (mm)]]*Table11232456[[#This Row],[d (mm)]]*(1/25.4)^2)</f>
        <v>1.062664258682497</v>
      </c>
      <c r="W10" s="8">
        <f>Table11232456[[#This Row],[M (KN.mm)]]/$G$12</f>
        <v>0.81632653061224492</v>
      </c>
      <c r="X10" s="8">
        <f>E10*224.8/(2*SQRT(Table11232456[[#This Row],[fc (Mpa)]]*145.037)*Table11232456[[#This Row],[b (mm)]]*Table11232456[[#This Row],[d (mm)]]*(1/25.4)^2+Table11232456[[#This Row],[Av fy d/s (N)]]*0.2248)</f>
        <v>0.7654969163582761</v>
      </c>
      <c r="Y10" s="8">
        <v>0.33</v>
      </c>
      <c r="Z10" s="8">
        <f>Table11232456[[#This Row],[Av fy/(b S) (Mpa)]]*Table11232456[[#This Row],[d (mm)]]*Table11232456[[#This Row],[b (mm)]]</f>
        <v>182655</v>
      </c>
      <c r="AA10" s="8">
        <f>Table11232456[[#This Row],[d (mm)]]/1350</f>
        <v>1.3666666666666667</v>
      </c>
      <c r="AB10" s="8">
        <f>Table11232456[[#This Row],[a/d]]*Table11232456[[#This Row],[d]]</f>
        <v>5387.4</v>
      </c>
      <c r="AC10" s="8">
        <f>Table11232456[[#This Row],[d]]</f>
        <v>1845</v>
      </c>
      <c r="AD10" s="8">
        <v>2000</v>
      </c>
      <c r="AE10" s="5">
        <v>300</v>
      </c>
      <c r="AF10" s="15">
        <v>26.2</v>
      </c>
      <c r="AG10" s="8">
        <f>Table11232456[[#This Row],[pho (%)]]/100*Table11232456[[#This Row],[b (mm)]]*Table11232456[[#This Row],[d (mm)]]</f>
        <v>8413.1999999999989</v>
      </c>
      <c r="AH10" s="15">
        <v>1.52</v>
      </c>
      <c r="AI10" s="8">
        <v>508</v>
      </c>
      <c r="AJ10" s="8">
        <f>(1/3-0.21*(MIN(Table11232456[[#This Row],[b (mm)]],AD10)/MAX(Table11232456[[#This Row],[b (mm)]],AD10))*(MIN(Table11232456[[#This Row],[b (mm)]],AD10)^4/(12*MAX(Table11232456[[#This Row],[b (mm)]],AD10)^4)))*MAX(Table11232456[[#This Row],[b (mm)]],AD10)*MIN(Table11232456[[#This Row],[b (mm)]],AD10)^3</f>
        <v>17999928239.0625</v>
      </c>
      <c r="AK10" s="8">
        <f>Table11232456[[#This Row],[b (mm)]]*AD10^3/12</f>
        <v>200000000000</v>
      </c>
      <c r="AL10" s="15">
        <f>2*Table11232456[[#This Row],[a (mm)]]</f>
        <v>10774.8</v>
      </c>
      <c r="AM10" s="12"/>
      <c r="AN10" s="6"/>
    </row>
    <row r="11" spans="1:42" x14ac:dyDescent="0.25">
      <c r="A11" s="25" t="s">
        <v>147</v>
      </c>
      <c r="B11" s="25">
        <v>4</v>
      </c>
      <c r="C11" s="15">
        <v>10</v>
      </c>
      <c r="D11" s="15">
        <v>2.92</v>
      </c>
      <c r="E11" s="15">
        <v>575</v>
      </c>
      <c r="F11" s="15">
        <v>1845</v>
      </c>
      <c r="G11" s="8">
        <f t="shared" si="4"/>
        <v>3097755</v>
      </c>
      <c r="H11" s="8">
        <f t="shared" si="5"/>
        <v>5.8810434628977846E-7</v>
      </c>
      <c r="I11" s="8">
        <f>G11/(Table11232456[[#This Row],[b (mm)]]*AC11^2)</f>
        <v>3.0334236675700092E-3</v>
      </c>
      <c r="J11" s="8">
        <f t="shared" si="6"/>
        <v>0.39284910738318601</v>
      </c>
      <c r="K11" s="8">
        <f t="shared" si="7"/>
        <v>1.0173430509066176E-6</v>
      </c>
      <c r="L11" s="8">
        <f>E11/(Table11232456[[#This Row],[b (mm)]]*AC11)</f>
        <v>1.0388437217705511E-3</v>
      </c>
      <c r="M11" s="8">
        <f>Table11232456[[#This Row],[M (KN.mm)]]/(Table11232456[[#This Row],[b (mm)]]*Table11232456[[#This Row],[d (mm)]])</f>
        <v>5.5966666666666667</v>
      </c>
      <c r="N11" s="8">
        <f>Table11232456[[#This Row],[M (KN.mm)]]/(Table11232456[[#This Row],[b (mm)]]*Table11232456[[#This Row],[h (mm)]])</f>
        <v>5.1629250000000004</v>
      </c>
      <c r="O11" s="8">
        <f>Table11232456[[#This Row],[M (KN.mm)]]/(Table11232456[[#This Row],[b (mm)]]*Table11232456[[#This Row],[h (mm)]]*Table11232456[[#This Row],[L(mm)]])</f>
        <v>4.7916666666666664E-4</v>
      </c>
      <c r="P11" s="8">
        <f>Table11232456[[#This Row],[M (KN.mm)]]/(Table11232456[[#This Row],[b (mm)]]*Table11232456[[#This Row],[d (mm)]]*Table11232456[[#This Row],[L(mm)]])</f>
        <v>5.1942186088527556E-4</v>
      </c>
      <c r="Q11" s="8">
        <f>Table11232456[[#This Row],[M (KN.mm)]]/(Table11232456[[#This Row],[b (mm)]]*Table11232456[[#This Row],[h (mm)]]*Table11232456[[#This Row],[L(mm)]]*Table11232456[[#This Row],[fc (Mpa)]])</f>
        <v>1.8288804071246819E-5</v>
      </c>
      <c r="R11" s="8">
        <f>Table11232456[[#This Row],[M (KN.mm)]]/(Table11232456[[#This Row],[b (mm)]]*Table11232456[[#This Row],[h (mm)]]*Table11232456[[#This Row],[L(mm)]]/2)</f>
        <v>9.5833333333333328E-4</v>
      </c>
      <c r="S11" s="8">
        <f>Table11232456[[#This Row],[M (KN.mm)]]/(Table11232456[[#This Row],[a (mm)]]*Table11232456[[#This Row],[b (mm)]]*Table11232456[[#This Row],[h (mm)]]*Table11232456[[#This Row],[L(mm)]]/2)</f>
        <v>1.7788419893331356E-7</v>
      </c>
      <c r="T11" s="8">
        <f>G11/($AN$5*AK11*0.001*Table11232456[[#This Row],[pho (%)]])</f>
        <v>3.869107541380121E-7</v>
      </c>
      <c r="U11" s="8">
        <f>Table11232456[[#This Row],[M (KN.mm)]]/(Table11232456[[#This Row],[b (mm)]]*Table11232456[[#This Row],[d (mm)]]*Table11232456[[#This Row],[pho (%)]])</f>
        <v>3.682017543859649</v>
      </c>
      <c r="V11" s="8">
        <f>E11*224.8/(2*SQRT(Table11232456[[#This Row],[fc (Mpa)]]*145.037)*Table11232456[[#This Row],[b (mm)]]*Table11232456[[#This Row],[d (mm)]]*(1/25.4)^2)</f>
        <v>1.2220638974848714</v>
      </c>
      <c r="W11" s="8">
        <f>Table11232456[[#This Row],[M (KN.mm)]]/$G$12</f>
        <v>0.93877551020408168</v>
      </c>
      <c r="X11" s="8">
        <f>E11*224.8/(2*SQRT(Table11232456[[#This Row],[fc (Mpa)]]*145.037)*Table11232456[[#This Row],[b (mm)]]*Table11232456[[#This Row],[d (mm)]]*(1/25.4)^2+Table11232456[[#This Row],[Av fy d/s (N)]]*0.2248)</f>
        <v>0.88032145381201754</v>
      </c>
      <c r="Y11" s="8">
        <v>0.33</v>
      </c>
      <c r="Z11" s="8">
        <f>Table11232456[[#This Row],[Av fy/(b S) (Mpa)]]*Table11232456[[#This Row],[d (mm)]]*Table11232456[[#This Row],[b (mm)]]</f>
        <v>182655</v>
      </c>
      <c r="AA11" s="8">
        <f>Table11232456[[#This Row],[d (mm)]]/1350</f>
        <v>1.3666666666666667</v>
      </c>
      <c r="AB11" s="8">
        <f>Table11232456[[#This Row],[a/d]]*Table11232456[[#This Row],[d]]</f>
        <v>5387.4</v>
      </c>
      <c r="AC11" s="8">
        <f>Table11232456[[#This Row],[d]]</f>
        <v>1845</v>
      </c>
      <c r="AD11" s="8">
        <v>2000</v>
      </c>
      <c r="AE11" s="5">
        <v>300</v>
      </c>
      <c r="AF11" s="15">
        <v>26.2</v>
      </c>
      <c r="AG11" s="8">
        <f>Table11232456[[#This Row],[pho (%)]]/100*Table11232456[[#This Row],[b (mm)]]*Table11232456[[#This Row],[d (mm)]]</f>
        <v>8413.1999999999989</v>
      </c>
      <c r="AH11" s="15">
        <v>1.52</v>
      </c>
      <c r="AI11" s="8">
        <v>508</v>
      </c>
      <c r="AJ11" s="8">
        <f>(1/3-0.21*(MIN(Table11232456[[#This Row],[b (mm)]],AD11)/MAX(Table11232456[[#This Row],[b (mm)]],AD11))*(MIN(Table11232456[[#This Row],[b (mm)]],AD11)^4/(12*MAX(Table11232456[[#This Row],[b (mm)]],AD11)^4)))*MAX(Table11232456[[#This Row],[b (mm)]],AD11)*MIN(Table11232456[[#This Row],[b (mm)]],AD11)^3</f>
        <v>17999928239.0625</v>
      </c>
      <c r="AK11" s="8">
        <f>Table11232456[[#This Row],[b (mm)]]*AD11^3/12</f>
        <v>200000000000</v>
      </c>
      <c r="AL11" s="15">
        <f>2*Table11232456[[#This Row],[a (mm)]]</f>
        <v>10774.8</v>
      </c>
      <c r="AM11" s="12"/>
      <c r="AN11" s="6"/>
    </row>
    <row r="12" spans="1:42" x14ac:dyDescent="0.25">
      <c r="A12" s="25" t="s">
        <v>147</v>
      </c>
      <c r="B12" s="25">
        <v>5</v>
      </c>
      <c r="C12" s="3">
        <v>11</v>
      </c>
      <c r="D12" s="15">
        <v>2.92</v>
      </c>
      <c r="E12" s="15">
        <v>612.5</v>
      </c>
      <c r="F12" s="15">
        <v>1845</v>
      </c>
      <c r="G12" s="8">
        <f t="shared" si="4"/>
        <v>3299782.5</v>
      </c>
      <c r="H12" s="8">
        <f t="shared" si="5"/>
        <v>6.2645897756954655E-7</v>
      </c>
      <c r="I12" s="8">
        <f>G12/(Table11232456[[#This Row],[b (mm)]]*AC12^2)</f>
        <v>3.2312556458897923E-3</v>
      </c>
      <c r="J12" s="8">
        <f t="shared" si="6"/>
        <v>0.41846970134295902</v>
      </c>
      <c r="K12" s="8">
        <f t="shared" si="7"/>
        <v>1.0836915107483536E-6</v>
      </c>
      <c r="L12" s="8">
        <f>E12/(Table11232456[[#This Row],[b (mm)]]*AC12)</f>
        <v>1.1065943992773261E-3</v>
      </c>
      <c r="M12" s="8">
        <f>Table11232456[[#This Row],[M (KN.mm)]]/(Table11232456[[#This Row],[b (mm)]]*Table11232456[[#This Row],[d (mm)]])</f>
        <v>5.9616666666666669</v>
      </c>
      <c r="N12" s="8">
        <f>Table11232456[[#This Row],[M (KN.mm)]]/(Table11232456[[#This Row],[b (mm)]]*Table11232456[[#This Row],[h (mm)]])</f>
        <v>5.4996375000000004</v>
      </c>
      <c r="O12" s="8">
        <f>Table11232456[[#This Row],[M (KN.mm)]]/(Table11232456[[#This Row],[b (mm)]]*Table11232456[[#This Row],[h (mm)]]*Table11232456[[#This Row],[L(mm)]])</f>
        <v>5.1041666666666661E-4</v>
      </c>
      <c r="P12" s="8">
        <f>Table11232456[[#This Row],[M (KN.mm)]]/(Table11232456[[#This Row],[b (mm)]]*Table11232456[[#This Row],[d (mm)]]*Table11232456[[#This Row],[L(mm)]])</f>
        <v>5.5329719963866303E-4</v>
      </c>
      <c r="Q12" s="8">
        <f>Table11232456[[#This Row],[M (KN.mm)]]/(Table11232456[[#This Row],[b (mm)]]*Table11232456[[#This Row],[h (mm)]]*Table11232456[[#This Row],[L(mm)]]*Table11232456[[#This Row],[fc (Mpa)]])</f>
        <v>1.9481552162849872E-5</v>
      </c>
      <c r="R12" s="8">
        <f>Table11232456[[#This Row],[M (KN.mm)]]/(Table11232456[[#This Row],[b (mm)]]*Table11232456[[#This Row],[h (mm)]]*Table11232456[[#This Row],[L(mm)]]/2)</f>
        <v>1.0208333333333332E-3</v>
      </c>
      <c r="S12" s="8">
        <f>Table11232456[[#This Row],[M (KN.mm)]]/(Table11232456[[#This Row],[a (mm)]]*Table11232456[[#This Row],[b (mm)]]*Table11232456[[#This Row],[h (mm)]]*Table11232456[[#This Row],[L(mm)]]/2)</f>
        <v>1.8948534234200792E-7</v>
      </c>
      <c r="T12" s="8">
        <f>G12/($AN$5*AK12*0.001*Table11232456[[#This Row],[pho (%)]])</f>
        <v>4.1214406419049115E-7</v>
      </c>
      <c r="U12" s="8">
        <f>Table11232456[[#This Row],[M (KN.mm)]]/(Table11232456[[#This Row],[b (mm)]]*Table11232456[[#This Row],[d (mm)]]*Table11232456[[#This Row],[pho (%)]])</f>
        <v>3.9221491228070176</v>
      </c>
      <c r="V12" s="8">
        <f>E12*224.8/(2*SQRT(Table11232456[[#This Row],[fc (Mpa)]]*145.037)*Table11232456[[#This Row],[b (mm)]]*Table11232456[[#This Row],[d (mm)]]*(1/25.4)^2)</f>
        <v>1.3017637168860587</v>
      </c>
      <c r="W12" s="8">
        <f>Table11232456[[#This Row],[M (KN.mm)]]/$G$12</f>
        <v>1</v>
      </c>
      <c r="X12" s="8">
        <f>E12*224.8/(2*SQRT(Table11232456[[#This Row],[fc (Mpa)]]*145.037)*Table11232456[[#This Row],[b (mm)]]*Table11232456[[#This Row],[d (mm)]]*(1/25.4)^2+Table11232456[[#This Row],[Av fy d/s (N)]]*0.2248)</f>
        <v>0.9377337225388882</v>
      </c>
      <c r="Y12" s="8">
        <v>0.33</v>
      </c>
      <c r="Z12" s="8">
        <f>Table11232456[[#This Row],[Av fy/(b S) (Mpa)]]*Table11232456[[#This Row],[d (mm)]]*Table11232456[[#This Row],[b (mm)]]</f>
        <v>182655</v>
      </c>
      <c r="AA12" s="8">
        <f>Table11232456[[#This Row],[d (mm)]]/1350</f>
        <v>1.3666666666666667</v>
      </c>
      <c r="AB12" s="8">
        <f>Table11232456[[#This Row],[a/d]]*Table11232456[[#This Row],[d]]</f>
        <v>5387.4</v>
      </c>
      <c r="AC12" s="8">
        <f>Table11232456[[#This Row],[d]]</f>
        <v>1845</v>
      </c>
      <c r="AD12" s="8">
        <v>2000</v>
      </c>
      <c r="AE12" s="5">
        <v>300</v>
      </c>
      <c r="AF12" s="15">
        <v>26.2</v>
      </c>
      <c r="AG12" s="8">
        <f>Table11232456[[#This Row],[pho (%)]]/100*Table11232456[[#This Row],[b (mm)]]*Table11232456[[#This Row],[d (mm)]]</f>
        <v>8413.1999999999989</v>
      </c>
      <c r="AH12" s="15">
        <v>1.52</v>
      </c>
      <c r="AI12" s="8">
        <v>508</v>
      </c>
      <c r="AJ12" s="8">
        <f>(1/3-0.21*(MIN(Table11232456[[#This Row],[b (mm)]],AD12)/MAX(Table11232456[[#This Row],[b (mm)]],AD12))*(MIN(Table11232456[[#This Row],[b (mm)]],AD12)^4/(12*MAX(Table11232456[[#This Row],[b (mm)]],AD12)^4)))*MAX(Table11232456[[#This Row],[b (mm)]],AD12)*MIN(Table11232456[[#This Row],[b (mm)]],AD12)^3</f>
        <v>17999928239.0625</v>
      </c>
      <c r="AK12" s="8">
        <f>Table11232456[[#This Row],[b (mm)]]*AD12^3/12</f>
        <v>200000000000</v>
      </c>
      <c r="AL12" s="15">
        <f>2*Table11232456[[#This Row],[a (mm)]]</f>
        <v>10774.8</v>
      </c>
      <c r="AM12" s="12"/>
      <c r="AN12" s="6"/>
    </row>
    <row r="13" spans="1:42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 s="12"/>
      <c r="AN13" s="6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 s="12"/>
      <c r="AN14" s="6"/>
    </row>
    <row r="15" spans="1:42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 s="12"/>
      <c r="AN15" s="6"/>
    </row>
    <row r="16" spans="1:42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 s="12"/>
      <c r="AN16" s="6"/>
    </row>
    <row r="17" spans="1:42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 s="12"/>
      <c r="AN17" s="6"/>
    </row>
    <row r="18" spans="1:42" s="10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 s="12"/>
      <c r="AN18" s="9"/>
      <c r="AO18" s="12"/>
      <c r="AP18" s="1"/>
    </row>
    <row r="19" spans="1:42" s="10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 s="12"/>
      <c r="AN19" s="9"/>
      <c r="AO19" s="12"/>
      <c r="AP19" s="1"/>
    </row>
    <row r="20" spans="1:42" s="10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 s="12"/>
      <c r="AN20" s="9"/>
      <c r="AO20" s="12"/>
      <c r="AP20" s="1"/>
    </row>
    <row r="21" spans="1:42" s="10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 s="12"/>
      <c r="AN21" s="9"/>
      <c r="AO21" s="12"/>
      <c r="AP21" s="1"/>
    </row>
    <row r="22" spans="1:42" s="10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 s="12"/>
      <c r="AN22" s="12"/>
      <c r="AO22" s="12"/>
      <c r="AP22" s="1"/>
    </row>
    <row r="23" spans="1:42" s="10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 s="12"/>
      <c r="AN23" s="12"/>
      <c r="AO23" s="12"/>
      <c r="AP23" s="1"/>
    </row>
    <row r="24" spans="1:42" s="10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 s="12"/>
      <c r="AN24" s="12"/>
      <c r="AO24" s="12"/>
      <c r="AP24" s="1"/>
    </row>
    <row r="25" spans="1:42" s="10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 s="12"/>
      <c r="AN25" s="12"/>
      <c r="AO25" s="12"/>
      <c r="AP25" s="1"/>
    </row>
    <row r="26" spans="1:42" s="10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 s="12"/>
      <c r="AN26" s="12"/>
      <c r="AO26" s="12"/>
      <c r="AP26" s="1"/>
    </row>
    <row r="27" spans="1:42" s="10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 s="12"/>
      <c r="AN27" s="12"/>
      <c r="AO27" s="12"/>
      <c r="AP27" s="1"/>
    </row>
    <row r="28" spans="1:42" s="10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 s="12"/>
      <c r="AN28" s="12"/>
      <c r="AO28" s="12"/>
      <c r="AP28" s="1"/>
    </row>
    <row r="29" spans="1:42" s="10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 s="12"/>
      <c r="AN29" s="12"/>
      <c r="AO29" s="12"/>
      <c r="AP29" s="1"/>
    </row>
    <row r="30" spans="1:42" s="10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 s="12"/>
      <c r="AN30" s="12"/>
      <c r="AO30" s="12"/>
      <c r="AP30" s="1"/>
    </row>
    <row r="31" spans="1:4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42" s="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42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42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42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42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42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42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42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42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42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42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42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42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42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4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1"/>
      <c r="AN49" s="1"/>
    </row>
    <row r="50" spans="1:4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1"/>
      <c r="AN50" s="1"/>
    </row>
    <row r="51" spans="1:4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1"/>
      <c r="AN51" s="1"/>
    </row>
    <row r="52" spans="1:4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1"/>
      <c r="AN52" s="1"/>
    </row>
    <row r="53" spans="1:4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1"/>
      <c r="AN53" s="1"/>
    </row>
    <row r="54" spans="1:4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1"/>
      <c r="AN54" s="1"/>
    </row>
    <row r="55" spans="1:4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1"/>
      <c r="AN55" s="1"/>
    </row>
    <row r="56" spans="1:4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1"/>
      <c r="AN56" s="1"/>
    </row>
    <row r="57" spans="1:4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1"/>
      <c r="AN57" s="1"/>
    </row>
    <row r="58" spans="1:4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1"/>
      <c r="AN58" s="1"/>
    </row>
    <row r="59" spans="1:4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1"/>
      <c r="AN59" s="1"/>
    </row>
    <row r="60" spans="1:4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1"/>
      <c r="AN60" s="1"/>
    </row>
    <row r="61" spans="1:4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1"/>
      <c r="AN61" s="1"/>
    </row>
    <row r="62" spans="1:4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1"/>
      <c r="AN62" s="1"/>
    </row>
    <row r="63" spans="1:4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1"/>
      <c r="AN63" s="1"/>
      <c r="AQ63" s="1"/>
    </row>
    <row r="64" spans="1:4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1"/>
      <c r="AN64" s="1"/>
      <c r="AQ64" s="1"/>
    </row>
    <row r="65" spans="1:4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"/>
      <c r="AN65" s="1"/>
      <c r="AQ65" s="1"/>
    </row>
    <row r="66" spans="1:4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 s="1"/>
      <c r="AN66" s="1"/>
    </row>
    <row r="67" spans="1:4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1"/>
      <c r="AN67" s="1"/>
    </row>
    <row r="68" spans="1:4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1"/>
      <c r="AN68" s="1"/>
    </row>
    <row r="69" spans="1:4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1"/>
      <c r="AN69" s="1"/>
    </row>
    <row r="70" spans="1:4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1"/>
      <c r="AN70" s="1"/>
    </row>
    <row r="71" spans="1:4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14"/>
      <c r="AN71" s="22"/>
      <c r="AO71" s="13"/>
      <c r="AP71" s="13"/>
    </row>
    <row r="72" spans="1:4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14"/>
      <c r="AN72" s="22"/>
      <c r="AO72" s="13"/>
      <c r="AP72" s="13"/>
    </row>
    <row r="73" spans="1:4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14"/>
      <c r="AN73" s="22"/>
      <c r="AO73" s="13"/>
      <c r="AP73" s="13"/>
    </row>
    <row r="74" spans="1:4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14"/>
      <c r="AN74" s="22"/>
      <c r="AO74" s="13"/>
      <c r="AP74" s="13"/>
    </row>
    <row r="75" spans="1:4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14"/>
      <c r="AN75" s="22"/>
      <c r="AO75" s="13"/>
      <c r="AP75" s="13"/>
    </row>
    <row r="76" spans="1:4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14"/>
      <c r="AN76" s="22"/>
      <c r="AO76" s="13"/>
      <c r="AP76" s="13"/>
    </row>
    <row r="77" spans="1:4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14"/>
      <c r="AN77" s="22"/>
      <c r="AO77" s="13"/>
      <c r="AP77" s="13"/>
    </row>
    <row r="78" spans="1:4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14"/>
      <c r="AN78" s="22"/>
      <c r="AO78" s="13"/>
      <c r="AP78" s="13"/>
    </row>
    <row r="79" spans="1:4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14"/>
      <c r="AN79" s="22"/>
      <c r="AO79" s="13"/>
      <c r="AP79" s="13"/>
    </row>
    <row r="80" spans="1:4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14"/>
      <c r="AN80" s="22"/>
      <c r="AO80" s="13"/>
      <c r="AP80" s="13"/>
    </row>
    <row r="81" spans="1:4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14"/>
      <c r="AN81" s="22"/>
      <c r="AO81" s="13"/>
      <c r="AP81" s="13"/>
    </row>
    <row r="82" spans="1:4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12"/>
      <c r="AN82" s="6"/>
    </row>
    <row r="83" spans="1:4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 s="12"/>
      <c r="AN83" s="6"/>
    </row>
    <row r="84" spans="1:4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 s="14"/>
      <c r="AN84" s="22"/>
      <c r="AO84" s="13"/>
      <c r="AP84" s="13"/>
    </row>
    <row r="85" spans="1:4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 s="14"/>
      <c r="AN85" s="22"/>
      <c r="AO85" s="13"/>
      <c r="AP85" s="13"/>
    </row>
    <row r="86" spans="1:4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 s="14"/>
      <c r="AN86" s="22"/>
      <c r="AO86" s="13"/>
      <c r="AP86" s="13"/>
    </row>
    <row r="87" spans="1:4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 s="14"/>
      <c r="AN87" s="22"/>
      <c r="AO87" s="13"/>
      <c r="AP87" s="13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/>
      <c r="AM88" s="1"/>
      <c r="AN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/>
      <c r="AM89" s="1"/>
      <c r="AN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/>
      <c r="AM90" s="1"/>
      <c r="AN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/>
      <c r="AM91" s="1"/>
      <c r="AN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/>
      <c r="AM92" s="1"/>
      <c r="AN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/>
      <c r="AM93" s="1"/>
      <c r="AN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/>
      <c r="AM94" s="1"/>
      <c r="AN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/>
      <c r="AM95" s="1"/>
      <c r="AN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/>
      <c r="AM96" s="1"/>
      <c r="AN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/>
      <c r="AM97" s="1"/>
      <c r="AN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/>
      <c r="AM98" s="1"/>
      <c r="AN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/>
      <c r="AM99" s="1"/>
      <c r="AN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/>
      <c r="AM100" s="1"/>
      <c r="AN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Q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46"/>
  <sheetViews>
    <sheetView zoomScaleNormal="100" workbookViewId="0">
      <selection activeCell="T11" sqref="T11"/>
    </sheetView>
  </sheetViews>
  <sheetFormatPr defaultRowHeight="15" x14ac:dyDescent="0.25"/>
  <cols>
    <col min="1" max="1" width="10.7109375" style="2" customWidth="1"/>
    <col min="2" max="2" width="7" style="2" customWidth="1"/>
    <col min="3" max="3" width="7.42578125" style="2" customWidth="1"/>
    <col min="4" max="4" width="15" style="2" customWidth="1"/>
    <col min="5" max="5" width="10.85546875" style="2" customWidth="1"/>
    <col min="6" max="6" width="12.85546875" style="2" customWidth="1"/>
    <col min="7" max="7" width="12" style="2" customWidth="1"/>
    <col min="8" max="8" width="10.5703125" style="2" customWidth="1"/>
    <col min="9" max="9" width="10.85546875" style="2" customWidth="1"/>
    <col min="10" max="10" width="13.140625" style="2" customWidth="1"/>
    <col min="11" max="11" width="8.85546875" style="2" customWidth="1"/>
    <col min="12" max="12" width="8.42578125" style="2" customWidth="1"/>
    <col min="13" max="17" width="10" style="2" customWidth="1"/>
    <col min="18" max="21" width="14.7109375" style="2" customWidth="1"/>
    <col min="22" max="22" width="17.42578125" style="2" customWidth="1"/>
    <col min="23" max="23" width="17.85546875" style="2" customWidth="1"/>
    <col min="24" max="24" width="17.140625" style="2" customWidth="1"/>
    <col min="25" max="27" width="17.85546875" style="2" customWidth="1"/>
    <col min="28" max="28" width="9.42578125" style="2" customWidth="1"/>
    <col min="29" max="30" width="9.5703125" style="2" customWidth="1"/>
    <col min="31" max="31" width="10.7109375" style="2" customWidth="1"/>
    <col min="32" max="32" width="9.85546875" style="2" customWidth="1"/>
    <col min="33" max="33" width="12.5703125" style="2" customWidth="1"/>
    <col min="34" max="34" width="11.7109375" style="2" customWidth="1"/>
    <col min="35" max="35" width="11" style="2" customWidth="1"/>
    <col min="36" max="36" width="12.42578125" style="2" customWidth="1"/>
    <col min="37" max="38" width="14.28515625" style="2" customWidth="1"/>
    <col min="39" max="39" width="15.28515625" style="2" customWidth="1"/>
    <col min="40" max="40" width="15.7109375" style="2" customWidth="1"/>
    <col min="41" max="42" width="9.140625" style="1"/>
    <col min="43" max="16384" width="9.140625" style="2"/>
  </cols>
  <sheetData>
    <row r="1" spans="1:42" ht="80.25" customHeight="1" x14ac:dyDescent="0.25">
      <c r="A1" s="4" t="s">
        <v>25</v>
      </c>
      <c r="B1" s="4" t="s">
        <v>23</v>
      </c>
      <c r="C1" s="4" t="s">
        <v>24</v>
      </c>
      <c r="D1" s="4" t="s">
        <v>40</v>
      </c>
      <c r="E1" s="3" t="s">
        <v>19</v>
      </c>
      <c r="F1" s="4" t="s">
        <v>26</v>
      </c>
      <c r="G1" s="3" t="s">
        <v>18</v>
      </c>
      <c r="H1" s="3" t="s">
        <v>0</v>
      </c>
      <c r="I1" s="3" t="s">
        <v>9</v>
      </c>
      <c r="J1" s="3" t="s">
        <v>10</v>
      </c>
      <c r="K1" s="3" t="s">
        <v>16</v>
      </c>
      <c r="L1" s="3" t="s">
        <v>15</v>
      </c>
      <c r="M1" s="3" t="s">
        <v>21</v>
      </c>
      <c r="N1" s="3" t="s">
        <v>22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158</v>
      </c>
      <c r="U1" s="3" t="s">
        <v>38</v>
      </c>
      <c r="V1" s="3" t="s">
        <v>44</v>
      </c>
      <c r="W1" s="3" t="s">
        <v>39</v>
      </c>
      <c r="X1" s="26" t="s">
        <v>111</v>
      </c>
      <c r="Y1" s="26" t="s">
        <v>108</v>
      </c>
      <c r="Z1" s="26" t="s">
        <v>110</v>
      </c>
      <c r="AA1" s="55" t="s">
        <v>109</v>
      </c>
      <c r="AB1" s="3" t="s">
        <v>1</v>
      </c>
      <c r="AC1" s="3" t="s">
        <v>5</v>
      </c>
      <c r="AD1" s="3" t="s">
        <v>8</v>
      </c>
      <c r="AE1" s="3" t="s">
        <v>28</v>
      </c>
      <c r="AF1" s="3" t="s">
        <v>29</v>
      </c>
      <c r="AG1" s="3" t="s">
        <v>6</v>
      </c>
      <c r="AH1" s="3" t="s">
        <v>7</v>
      </c>
      <c r="AI1" s="3" t="s">
        <v>14</v>
      </c>
      <c r="AJ1" s="3" t="s">
        <v>11</v>
      </c>
      <c r="AK1" s="3" t="s">
        <v>13</v>
      </c>
      <c r="AL1" s="3" t="s">
        <v>30</v>
      </c>
      <c r="AM1" s="1" t="s">
        <v>20</v>
      </c>
      <c r="AN1" s="1" t="s">
        <v>27</v>
      </c>
      <c r="AO1" s="1" t="s">
        <v>32</v>
      </c>
      <c r="AP1" s="1" t="s">
        <v>37</v>
      </c>
    </row>
    <row r="2" spans="1:42" x14ac:dyDescent="0.25">
      <c r="A2" s="27" t="s">
        <v>148</v>
      </c>
      <c r="B2" s="27">
        <v>1</v>
      </c>
      <c r="C2" s="3">
        <v>1</v>
      </c>
      <c r="D2" s="64">
        <v>2.86</v>
      </c>
      <c r="E2" s="3">
        <v>114</v>
      </c>
      <c r="F2" s="3">
        <v>1890</v>
      </c>
      <c r="G2" s="8">
        <f>E2*AB2</f>
        <v>616215.6</v>
      </c>
      <c r="H2" s="8">
        <f>G2/($AN$5*AK2*0.001)</f>
        <v>1.1698764834906684E-7</v>
      </c>
      <c r="I2" s="8">
        <f>G2/(Table112324567[[#This Row],[b (mm)]]*AC2^2)</f>
        <v>5.7502645502645496E-4</v>
      </c>
      <c r="J2" s="8">
        <f>G2/(AG2*AI2*AC2*0.001)</f>
        <v>0.15296511359503484</v>
      </c>
      <c r="K2" s="8">
        <f>E2/($AN$4*AJ2*0.001)</f>
        <v>2.0169931791887722E-7</v>
      </c>
      <c r="L2" s="8">
        <f>E2/(Table112324567[[#This Row],[b (mm)]]*AC2)</f>
        <v>2.0105820105820107E-4</v>
      </c>
      <c r="M2" s="8">
        <f>Table112324567[[#This Row],[M (KN.mm)]]/(Table112324567[[#This Row],[b (mm)]]*Table112324567[[#This Row],[d (mm)]])</f>
        <v>1.0868</v>
      </c>
      <c r="N2" s="8">
        <f>Table112324567[[#This Row],[M (KN.mm)]]/(Table112324567[[#This Row],[b (mm)]]*Table112324567[[#This Row],[h (mm)]])</f>
        <v>1.027026</v>
      </c>
      <c r="O2" s="8">
        <f>Table112324567[[#This Row],[M (KN.mm)]]/(Table112324567[[#This Row],[b (mm)]]*Table112324567[[#This Row],[h (mm)]]*Table112324567[[#This Row],[L(mm)]])</f>
        <v>9.4999999999999992E-5</v>
      </c>
      <c r="P2" s="8">
        <f>Table112324567[[#This Row],[M (KN.mm)]]/(Table112324567[[#This Row],[b (mm)]]*Table112324567[[#This Row],[d (mm)]]*Table112324567[[#This Row],[L(mm)]])</f>
        <v>1.0052910052910052E-4</v>
      </c>
      <c r="Q2" s="8">
        <f>Table112324567[[#This Row],[M (KN.mm)]]/(Table112324567[[#This Row],[b (mm)]]*Table112324567[[#This Row],[h (mm)]]*Table112324567[[#This Row],[L(mm)]]*Table112324567[[#This Row],[fc (Mpa)]])</f>
        <v>2.9874213836477987E-6</v>
      </c>
      <c r="R2" s="8">
        <f>Table112324567[[#This Row],[M (KN.mm)]]/(Table112324567[[#This Row],[b (mm)]]*Table112324567[[#This Row],[h (mm)]]*Table112324567[[#This Row],[L(mm)]]/2)</f>
        <v>1.8999999999999998E-4</v>
      </c>
      <c r="S2" s="8">
        <f>Table112324567[[#This Row],[M (KN.mm)]]/(Table112324567[[#This Row],[a (mm)]]*Table112324567[[#This Row],[b (mm)]]*Table112324567[[#This Row],[h (mm)]]*Table112324567[[#This Row],[L(mm)]]/2)</f>
        <v>3.5150035150035153E-8</v>
      </c>
      <c r="T2" s="8">
        <f>G2/($AN$5*AK2*0.001*Table112324567[[#This Row],[pho (%)]])</f>
        <v>1.5809141668792817E-7</v>
      </c>
      <c r="U2" s="8">
        <f>Table112324567[[#This Row],[M (KN.mm)]]/(Table112324567[[#This Row],[b (mm)]]*Table112324567[[#This Row],[d (mm)]]*Table112324567[[#This Row],[pho (%)]])</f>
        <v>1.4686486486486485</v>
      </c>
      <c r="V2" s="8">
        <f>E2*224.8/(2*SQRT(Table112324567[[#This Row],[fc (Mpa)]]*145.037)*Table112324567[[#This Row],[b (mm)]]*Table112324567[[#This Row],[d (mm)]]*(1/25.4)^2)</f>
        <v>0.21468543079256508</v>
      </c>
      <c r="W2" s="8">
        <f>Table112324567[[#This Row],[M (KN.mm)]]/$G$10</f>
        <v>0.17538461538461539</v>
      </c>
      <c r="X2" s="8">
        <f>E2*224.8/(2*SQRT(Table112324567[[#This Row],[fc (Mpa)]]*145.037)*Table112324567[[#This Row],[b (mm)]]*Table112324567[[#This Row],[d (mm)]]*(1/25.4)^2+Table112324567[[#This Row],[Av fy d/s (N)]]*0.2248)</f>
        <v>0.15874795547592932</v>
      </c>
      <c r="Y2" s="8">
        <v>0.33</v>
      </c>
      <c r="Z2" s="8">
        <f>Table112324567[[#This Row],[Av fy/(b S) (Mpa)]]*Table112324567[[#This Row],[d (mm)]]*Table112324567[[#This Row],[b (mm)]]</f>
        <v>187110</v>
      </c>
      <c r="AA2" s="8">
        <f>Table112324567[[#This Row],[d (mm)]]/590</f>
        <v>3.2033898305084745</v>
      </c>
      <c r="AB2" s="8">
        <f>Table112324567[[#This Row],[a/d]]*Table112324567[[#This Row],[d]]</f>
        <v>5405.4</v>
      </c>
      <c r="AC2" s="8">
        <f>Table112324567[[#This Row],[d]]</f>
        <v>1890</v>
      </c>
      <c r="AD2" s="8">
        <v>2000</v>
      </c>
      <c r="AE2" s="5">
        <v>300</v>
      </c>
      <c r="AF2" s="5">
        <v>31.8</v>
      </c>
      <c r="AG2" s="8">
        <f>Table112324567[[#This Row],[pho (%)]]/100*Table112324567[[#This Row],[b (mm)]]*Table112324567[[#This Row],[d (mm)]]</f>
        <v>4195.8</v>
      </c>
      <c r="AH2" s="8">
        <v>0.74</v>
      </c>
      <c r="AI2" s="8">
        <v>508</v>
      </c>
      <c r="AJ2" s="8">
        <f>(1/3-0.21*(MIN(Table112324567[[#This Row],[b (mm)]],AD2)/MAX(Table112324567[[#This Row],[b (mm)]],AD2))*(MIN(Table112324567[[#This Row],[b (mm)]],AD2)^4/(12*MAX(Table112324567[[#This Row],[b (mm)]],AD2)^4)))*MAX(Table112324567[[#This Row],[b (mm)]],AD2)*MIN(Table112324567[[#This Row],[b (mm)]],AD2)^3</f>
        <v>17999928239.0625</v>
      </c>
      <c r="AK2" s="8">
        <f>Table112324567[[#This Row],[b (mm)]]*AD2^3/12</f>
        <v>200000000000</v>
      </c>
      <c r="AL2" s="8">
        <f>2*Table112324567[[#This Row],[a (mm)]]</f>
        <v>10810.8</v>
      </c>
      <c r="AM2" s="12" t="s">
        <v>17</v>
      </c>
      <c r="AN2" s="6">
        <v>1250</v>
      </c>
    </row>
    <row r="3" spans="1:42" x14ac:dyDescent="0.25">
      <c r="A3" s="27" t="s">
        <v>148</v>
      </c>
      <c r="B3" s="27">
        <v>2</v>
      </c>
      <c r="C3" s="15">
        <v>2</v>
      </c>
      <c r="D3" s="64">
        <v>2.86</v>
      </c>
      <c r="E3" s="15">
        <v>296</v>
      </c>
      <c r="F3" s="3">
        <v>1890</v>
      </c>
      <c r="G3" s="8">
        <f t="shared" ref="G3:G10" si="0">E3*AB3</f>
        <v>1599998.4</v>
      </c>
      <c r="H3" s="8">
        <f t="shared" ref="H3:H10" si="1">G3/($AN$5*AK3*0.001)</f>
        <v>3.0375740273091041E-7</v>
      </c>
      <c r="I3" s="8">
        <f>G3/(Table112324567[[#This Row],[b (mm)]]*AC3^2)</f>
        <v>1.4930511463844796E-3</v>
      </c>
      <c r="J3" s="8">
        <f t="shared" ref="J3:J10" si="2">G3/(AG3*AI3*AC3*0.001)</f>
        <v>0.39717257565026587</v>
      </c>
      <c r="K3" s="8">
        <f t="shared" ref="K3:K10" si="3">E3/($AN$4*AJ3*0.001)</f>
        <v>5.2371050968410231E-7</v>
      </c>
      <c r="L3" s="8">
        <f>E3/(Table112324567[[#This Row],[b (mm)]]*AC3)</f>
        <v>5.2204585537918877E-4</v>
      </c>
      <c r="M3" s="8">
        <f>Table112324567[[#This Row],[M (KN.mm)]]/(Table112324567[[#This Row],[b (mm)]]*Table112324567[[#This Row],[d (mm)]])</f>
        <v>2.8218666666666663</v>
      </c>
      <c r="N3" s="8">
        <f>Table112324567[[#This Row],[M (KN.mm)]]/(Table112324567[[#This Row],[b (mm)]]*Table112324567[[#This Row],[h (mm)]])</f>
        <v>2.6666639999999999</v>
      </c>
      <c r="O3" s="8">
        <f>Table112324567[[#This Row],[M (KN.mm)]]/(Table112324567[[#This Row],[b (mm)]]*Table112324567[[#This Row],[h (mm)]]*Table112324567[[#This Row],[L(mm)]])</f>
        <v>2.4666666666666663E-4</v>
      </c>
      <c r="P3" s="8">
        <f>Table112324567[[#This Row],[M (KN.mm)]]/(Table112324567[[#This Row],[b (mm)]]*Table112324567[[#This Row],[d (mm)]]*Table112324567[[#This Row],[L(mm)]])</f>
        <v>2.6102292768959433E-4</v>
      </c>
      <c r="Q3" s="8">
        <f>Table112324567[[#This Row],[M (KN.mm)]]/(Table112324567[[#This Row],[b (mm)]]*Table112324567[[#This Row],[h (mm)]]*Table112324567[[#This Row],[L(mm)]]*Table112324567[[#This Row],[fc (Mpa)]])</f>
        <v>7.7568134171907746E-6</v>
      </c>
      <c r="R3" s="8">
        <f>Table112324567[[#This Row],[M (KN.mm)]]/(Table112324567[[#This Row],[b (mm)]]*Table112324567[[#This Row],[h (mm)]]*Table112324567[[#This Row],[L(mm)]]/2)</f>
        <v>4.9333333333333325E-4</v>
      </c>
      <c r="S3" s="8">
        <f>Table112324567[[#This Row],[M (KN.mm)]]/(Table112324567[[#This Row],[a (mm)]]*Table112324567[[#This Row],[b (mm)]]*Table112324567[[#This Row],[h (mm)]]*Table112324567[[#This Row],[L(mm)]]/2)</f>
        <v>9.1266757933424602E-8</v>
      </c>
      <c r="T3" s="8">
        <f>G3/($AN$5*AK3*0.001*Table112324567[[#This Row],[pho (%)]])</f>
        <v>4.1048297666339245E-7</v>
      </c>
      <c r="U3" s="8">
        <f>Table112324567[[#This Row],[M (KN.mm)]]/(Table112324567[[#This Row],[b (mm)]]*Table112324567[[#This Row],[d (mm)]]*Table112324567[[#This Row],[pho (%)]])</f>
        <v>3.813333333333333</v>
      </c>
      <c r="V3" s="8">
        <f>E3*224.8/(2*SQRT(Table112324567[[#This Row],[fc (Mpa)]]*145.037)*Table112324567[[#This Row],[b (mm)]]*Table112324567[[#This Row],[d (mm)]]*(1/25.4)^2)</f>
        <v>0.55742883784736197</v>
      </c>
      <c r="W3" s="8">
        <f>Table112324567[[#This Row],[M (KN.mm)]]/$G$10</f>
        <v>0.45538461538461544</v>
      </c>
      <c r="X3" s="8">
        <f>E3*224.8/(2*SQRT(Table112324567[[#This Row],[fc (Mpa)]]*145.037)*Table112324567[[#This Row],[b (mm)]]*Table112324567[[#This Row],[d (mm)]]*(1/25.4)^2+Table112324567[[#This Row],[Av fy d/s (N)]]*0.2248)</f>
        <v>0.41218767386732524</v>
      </c>
      <c r="Y3" s="8">
        <v>0.33</v>
      </c>
      <c r="Z3" s="8">
        <f>Table112324567[[#This Row],[Av fy/(b S) (Mpa)]]*Table112324567[[#This Row],[d (mm)]]*Table112324567[[#This Row],[b (mm)]]</f>
        <v>187110</v>
      </c>
      <c r="AA3" s="8">
        <f>Table112324567[[#This Row],[d (mm)]]/590</f>
        <v>3.2033898305084745</v>
      </c>
      <c r="AB3" s="8">
        <f>Table112324567[[#This Row],[a/d]]*Table112324567[[#This Row],[d]]</f>
        <v>5405.4</v>
      </c>
      <c r="AC3" s="8">
        <f>Table112324567[[#This Row],[d]]</f>
        <v>1890</v>
      </c>
      <c r="AD3" s="8">
        <v>2000</v>
      </c>
      <c r="AE3" s="5">
        <v>300</v>
      </c>
      <c r="AF3" s="5">
        <v>31.8</v>
      </c>
      <c r="AG3" s="8">
        <f>Table112324567[[#This Row],[pho (%)]]/100*Table112324567[[#This Row],[b (mm)]]*Table112324567[[#This Row],[d (mm)]]</f>
        <v>4195.8</v>
      </c>
      <c r="AH3" s="8">
        <v>0.74</v>
      </c>
      <c r="AI3" s="8">
        <v>508</v>
      </c>
      <c r="AJ3" s="8">
        <f>(1/3-0.21*(MIN(Table112324567[[#This Row],[b (mm)]],AD3)/MAX(Table112324567[[#This Row],[b (mm)]],AD3))*(MIN(Table112324567[[#This Row],[b (mm)]],AD3)^4/(12*MAX(Table112324567[[#This Row],[b (mm)]],AD3)^4)))*MAX(Table112324567[[#This Row],[b (mm)]],AD3)*MIN(Table112324567[[#This Row],[b (mm)]],AD3)^3</f>
        <v>17999928239.0625</v>
      </c>
      <c r="AK3" s="8">
        <f>Table112324567[[#This Row],[b (mm)]]*AD3^3/12</f>
        <v>200000000000</v>
      </c>
      <c r="AL3" s="8">
        <f>2*Table112324567[[#This Row],[a (mm)]]</f>
        <v>10810.8</v>
      </c>
      <c r="AM3" s="12" t="s">
        <v>2</v>
      </c>
      <c r="AN3" s="6">
        <v>200</v>
      </c>
    </row>
    <row r="4" spans="1:42" x14ac:dyDescent="0.25">
      <c r="A4" s="27" t="s">
        <v>148</v>
      </c>
      <c r="B4" s="27">
        <v>3</v>
      </c>
      <c r="C4" s="3">
        <v>3</v>
      </c>
      <c r="D4" s="64">
        <v>2.86</v>
      </c>
      <c r="E4" s="15">
        <v>375.5</v>
      </c>
      <c r="F4" s="3">
        <v>1890</v>
      </c>
      <c r="G4" s="8">
        <f t="shared" si="0"/>
        <v>2029727.7</v>
      </c>
      <c r="H4" s="8">
        <f t="shared" si="1"/>
        <v>3.8534089434275966E-7</v>
      </c>
      <c r="I4" s="8">
        <f>G4/(Table112324567[[#This Row],[b (mm)]]*AC4^2)</f>
        <v>1.8940564373897708E-3</v>
      </c>
      <c r="J4" s="8">
        <f t="shared" si="2"/>
        <v>0.50384561539417183</v>
      </c>
      <c r="K4" s="8">
        <f t="shared" si="3"/>
        <v>6.6436924454858245E-7</v>
      </c>
      <c r="L4" s="8">
        <f>E4/(Table112324567[[#This Row],[b (mm)]]*AC4)</f>
        <v>6.6225749559082887E-4</v>
      </c>
      <c r="M4" s="8">
        <f>Table112324567[[#This Row],[M (KN.mm)]]/(Table112324567[[#This Row],[b (mm)]]*Table112324567[[#This Row],[d (mm)]])</f>
        <v>3.5797666666666665</v>
      </c>
      <c r="N4" s="8">
        <f>Table112324567[[#This Row],[M (KN.mm)]]/(Table112324567[[#This Row],[b (mm)]]*Table112324567[[#This Row],[h (mm)]])</f>
        <v>3.3828795</v>
      </c>
      <c r="O4" s="8">
        <f>Table112324567[[#This Row],[M (KN.mm)]]/(Table112324567[[#This Row],[b (mm)]]*Table112324567[[#This Row],[h (mm)]]*Table112324567[[#This Row],[L(mm)]])</f>
        <v>3.1291666666666664E-4</v>
      </c>
      <c r="P4" s="8">
        <f>Table112324567[[#This Row],[M (KN.mm)]]/(Table112324567[[#This Row],[b (mm)]]*Table112324567[[#This Row],[d (mm)]]*Table112324567[[#This Row],[L(mm)]])</f>
        <v>3.3112874779541444E-4</v>
      </c>
      <c r="Q4" s="8">
        <f>Table112324567[[#This Row],[M (KN.mm)]]/(Table112324567[[#This Row],[b (mm)]]*Table112324567[[#This Row],[h (mm)]]*Table112324567[[#This Row],[L(mm)]]*Table112324567[[#This Row],[fc (Mpa)]])</f>
        <v>9.8401467505241088E-6</v>
      </c>
      <c r="R4" s="8">
        <f>Table112324567[[#This Row],[M (KN.mm)]]/(Table112324567[[#This Row],[b (mm)]]*Table112324567[[#This Row],[h (mm)]]*Table112324567[[#This Row],[L(mm)]]/2)</f>
        <v>6.2583333333333328E-4</v>
      </c>
      <c r="S4" s="8">
        <f>Table112324567[[#This Row],[M (KN.mm)]]/(Table112324567[[#This Row],[a (mm)]]*Table112324567[[#This Row],[b (mm)]]*Table112324567[[#This Row],[h (mm)]]*Table112324567[[#This Row],[L(mm)]]/2)</f>
        <v>1.1577928244594912E-7</v>
      </c>
      <c r="T4" s="8">
        <f>G4/($AN$5*AK4*0.001*Table112324567[[#This Row],[pho (%)]])</f>
        <v>5.2073093830102656E-7</v>
      </c>
      <c r="U4" s="8">
        <f>Table112324567[[#This Row],[M (KN.mm)]]/(Table112324567[[#This Row],[b (mm)]]*Table112324567[[#This Row],[d (mm)]]*Table112324567[[#This Row],[pho (%)]])</f>
        <v>4.837522522522522</v>
      </c>
      <c r="V4" s="8">
        <f>E4*224.8/(2*SQRT(Table112324567[[#This Row],[fc (Mpa)]]*145.037)*Table112324567[[#This Row],[b (mm)]]*Table112324567[[#This Row],[d (mm)]]*(1/25.4)^2)</f>
        <v>0.70714367774217712</v>
      </c>
      <c r="W4" s="8">
        <f>Table112324567[[#This Row],[M (KN.mm)]]/$G$10</f>
        <v>0.57769230769230773</v>
      </c>
      <c r="X4" s="8">
        <f>E4*224.8/(2*SQRT(Table112324567[[#This Row],[fc (Mpa)]]*145.037)*Table112324567[[#This Row],[b (mm)]]*Table112324567[[#This Row],[d (mm)]]*(1/25.4)^2+Table112324567[[#This Row],[Av fy d/s (N)]]*0.2248)</f>
        <v>0.52289348492290755</v>
      </c>
      <c r="Y4" s="8">
        <v>0.33</v>
      </c>
      <c r="Z4" s="8">
        <f>Table112324567[[#This Row],[Av fy/(b S) (Mpa)]]*Table112324567[[#This Row],[d (mm)]]*Table112324567[[#This Row],[b (mm)]]</f>
        <v>187110</v>
      </c>
      <c r="AA4" s="8">
        <f>Table112324567[[#This Row],[d (mm)]]/590</f>
        <v>3.2033898305084745</v>
      </c>
      <c r="AB4" s="8">
        <f>Table112324567[[#This Row],[a/d]]*Table112324567[[#This Row],[d]]</f>
        <v>5405.4</v>
      </c>
      <c r="AC4" s="8">
        <f>Table112324567[[#This Row],[d]]</f>
        <v>1890</v>
      </c>
      <c r="AD4" s="8">
        <v>2000</v>
      </c>
      <c r="AE4" s="5">
        <v>300</v>
      </c>
      <c r="AF4" s="5">
        <v>31.8</v>
      </c>
      <c r="AG4" s="8">
        <f>Table112324567[[#This Row],[pho (%)]]/100*Table112324567[[#This Row],[b (mm)]]*Table112324567[[#This Row],[d (mm)]]</f>
        <v>4195.8</v>
      </c>
      <c r="AH4" s="8">
        <v>0.74</v>
      </c>
      <c r="AI4" s="8">
        <v>508</v>
      </c>
      <c r="AJ4" s="8">
        <f>(1/3-0.21*(MIN(Table112324567[[#This Row],[b (mm)]],AD4)/MAX(Table112324567[[#This Row],[b (mm)]],AD4))*(MIN(Table112324567[[#This Row],[b (mm)]],AD4)^4/(12*MAX(Table112324567[[#This Row],[b (mm)]],AD4)^4)))*MAX(Table112324567[[#This Row],[b (mm)]],AD4)*MIN(Table112324567[[#This Row],[b (mm)]],AD4)^3</f>
        <v>17999928239.0625</v>
      </c>
      <c r="AK4" s="8">
        <f>Table112324567[[#This Row],[b (mm)]]*AD4^3/12</f>
        <v>200000000000</v>
      </c>
      <c r="AL4" s="8">
        <f>2*Table112324567[[#This Row],[a (mm)]]</f>
        <v>10810.8</v>
      </c>
      <c r="AM4" s="12" t="s">
        <v>3</v>
      </c>
      <c r="AN4" s="6">
        <v>31.4</v>
      </c>
    </row>
    <row r="5" spans="1:42" x14ac:dyDescent="0.25">
      <c r="A5" s="27" t="s">
        <v>148</v>
      </c>
      <c r="B5" s="27">
        <v>4</v>
      </c>
      <c r="C5" s="15">
        <v>4</v>
      </c>
      <c r="D5" s="64">
        <v>2.86</v>
      </c>
      <c r="E5" s="15">
        <v>421.5</v>
      </c>
      <c r="F5" s="3">
        <v>1890</v>
      </c>
      <c r="G5" s="8">
        <f t="shared" si="0"/>
        <v>2278376.0999999996</v>
      </c>
      <c r="H5" s="8">
        <f t="shared" si="1"/>
        <v>4.3254643665904974E-7</v>
      </c>
      <c r="I5" s="8">
        <f>G5/(Table112324567[[#This Row],[b (mm)]]*AC5^2)</f>
        <v>2.1260846560846557E-3</v>
      </c>
      <c r="J5" s="8">
        <f t="shared" si="2"/>
        <v>0.56556838052901037</v>
      </c>
      <c r="K5" s="8">
        <f t="shared" si="3"/>
        <v>7.4575668862111182E-7</v>
      </c>
      <c r="L5" s="8">
        <f>E5/(Table112324567[[#This Row],[b (mm)]]*AC5)</f>
        <v>7.4338624338624341E-4</v>
      </c>
      <c r="M5" s="8">
        <f>Table112324567[[#This Row],[M (KN.mm)]]/(Table112324567[[#This Row],[b (mm)]]*Table112324567[[#This Row],[d (mm)]])</f>
        <v>4.0182999999999991</v>
      </c>
      <c r="N5" s="8">
        <f>Table112324567[[#This Row],[M (KN.mm)]]/(Table112324567[[#This Row],[b (mm)]]*Table112324567[[#This Row],[h (mm)]])</f>
        <v>3.7972934999999994</v>
      </c>
      <c r="O5" s="8">
        <f>Table112324567[[#This Row],[M (KN.mm)]]/(Table112324567[[#This Row],[b (mm)]]*Table112324567[[#This Row],[h (mm)]]*Table112324567[[#This Row],[L(mm)]])</f>
        <v>3.5124999999999995E-4</v>
      </c>
      <c r="P5" s="8">
        <f>Table112324567[[#This Row],[M (KN.mm)]]/(Table112324567[[#This Row],[b (mm)]]*Table112324567[[#This Row],[d (mm)]]*Table112324567[[#This Row],[L(mm)]])</f>
        <v>3.7169312169312165E-4</v>
      </c>
      <c r="Q5" s="8">
        <f>Table112324567[[#This Row],[M (KN.mm)]]/(Table112324567[[#This Row],[b (mm)]]*Table112324567[[#This Row],[h (mm)]]*Table112324567[[#This Row],[L(mm)]]*Table112324567[[#This Row],[fc (Mpa)]])</f>
        <v>1.1045597484276729E-5</v>
      </c>
      <c r="R5" s="8">
        <f>Table112324567[[#This Row],[M (KN.mm)]]/(Table112324567[[#This Row],[b (mm)]]*Table112324567[[#This Row],[h (mm)]]*Table112324567[[#This Row],[L(mm)]]/2)</f>
        <v>7.0249999999999989E-4</v>
      </c>
      <c r="S5" s="8">
        <f>Table112324567[[#This Row],[M (KN.mm)]]/(Table112324567[[#This Row],[a (mm)]]*Table112324567[[#This Row],[b (mm)]]*Table112324567[[#This Row],[h (mm)]]*Table112324567[[#This Row],[L(mm)]]/2)</f>
        <v>1.2996262996262996E-7</v>
      </c>
      <c r="T5" s="8">
        <f>G5/($AN$5*AK5*0.001*Table112324567[[#This Row],[pho (%)]])</f>
        <v>5.8452221170141853E-7</v>
      </c>
      <c r="U5" s="8">
        <f>Table112324567[[#This Row],[M (KN.mm)]]/(Table112324567[[#This Row],[b (mm)]]*Table112324567[[#This Row],[d (mm)]]*Table112324567[[#This Row],[pho (%)]])</f>
        <v>5.4301351351351341</v>
      </c>
      <c r="V5" s="8">
        <f>E5*224.8/(2*SQRT(Table112324567[[#This Row],[fc (Mpa)]]*145.037)*Table112324567[[#This Row],[b (mm)]]*Table112324567[[#This Row],[d (mm)]]*(1/25.4)^2)</f>
        <v>0.7937711322725105</v>
      </c>
      <c r="W5" s="8">
        <f>Table112324567[[#This Row],[M (KN.mm)]]/$G$10</f>
        <v>0.64846153846153842</v>
      </c>
      <c r="X5" s="8">
        <f>E5*224.8/(2*SQRT(Table112324567[[#This Row],[fc (Mpa)]]*145.037)*Table112324567[[#This Row],[b (mm)]]*Table112324567[[#This Row],[d (mm)]]*(1/25.4)^2+Table112324567[[#This Row],[Av fy d/s (N)]]*0.2248)</f>
        <v>0.58694967748337035</v>
      </c>
      <c r="Y5" s="8">
        <v>0.33</v>
      </c>
      <c r="Z5" s="8">
        <f>Table112324567[[#This Row],[Av fy/(b S) (Mpa)]]*Table112324567[[#This Row],[d (mm)]]*Table112324567[[#This Row],[b (mm)]]</f>
        <v>187110</v>
      </c>
      <c r="AA5" s="8">
        <f>Table112324567[[#This Row],[d (mm)]]/590</f>
        <v>3.2033898305084745</v>
      </c>
      <c r="AB5" s="8">
        <f>Table112324567[[#This Row],[a/d]]*Table112324567[[#This Row],[d]]</f>
        <v>5405.4</v>
      </c>
      <c r="AC5" s="8">
        <f>Table112324567[[#This Row],[d]]</f>
        <v>1890</v>
      </c>
      <c r="AD5" s="8">
        <v>2000</v>
      </c>
      <c r="AE5" s="5">
        <v>300</v>
      </c>
      <c r="AF5" s="5">
        <v>31.8</v>
      </c>
      <c r="AG5" s="8">
        <f>Table112324567[[#This Row],[pho (%)]]/100*Table112324567[[#This Row],[b (mm)]]*Table112324567[[#This Row],[d (mm)]]</f>
        <v>4195.8</v>
      </c>
      <c r="AH5" s="8">
        <v>0.74</v>
      </c>
      <c r="AI5" s="8">
        <v>508</v>
      </c>
      <c r="AJ5" s="8">
        <f>(1/3-0.21*(MIN(Table112324567[[#This Row],[b (mm)]],AD5)/MAX(Table112324567[[#This Row],[b (mm)]],AD5))*(MIN(Table112324567[[#This Row],[b (mm)]],AD5)^4/(12*MAX(Table112324567[[#This Row],[b (mm)]],AD5)^4)))*MAX(Table112324567[[#This Row],[b (mm)]],AD5)*MIN(Table112324567[[#This Row],[b (mm)]],AD5)^3</f>
        <v>17999928239.0625</v>
      </c>
      <c r="AK5" s="8">
        <f>Table112324567[[#This Row],[b (mm)]]*AD5^3/12</f>
        <v>200000000000</v>
      </c>
      <c r="AL5" s="8">
        <f>2*Table112324567[[#This Row],[a (mm)]]</f>
        <v>10810.8</v>
      </c>
      <c r="AM5" s="12" t="s">
        <v>4</v>
      </c>
      <c r="AN5" s="6">
        <f>4700*SQRT(AN4)</f>
        <v>26336.780365109171</v>
      </c>
    </row>
    <row r="6" spans="1:42" x14ac:dyDescent="0.25">
      <c r="A6" s="27" t="s">
        <v>148</v>
      </c>
      <c r="B6" s="27">
        <v>5</v>
      </c>
      <c r="C6" s="3">
        <v>5</v>
      </c>
      <c r="D6" s="64">
        <v>2.86</v>
      </c>
      <c r="E6" s="15">
        <v>481.5</v>
      </c>
      <c r="F6" s="3">
        <v>1890</v>
      </c>
      <c r="G6" s="8">
        <f t="shared" si="0"/>
        <v>2602700.0999999996</v>
      </c>
      <c r="H6" s="8">
        <f t="shared" si="1"/>
        <v>4.9411888315855859E-7</v>
      </c>
      <c r="I6" s="8">
        <f>G6/(Table112324567[[#This Row],[b (mm)]]*AC6^2)</f>
        <v>2.4287301587301584E-3</v>
      </c>
      <c r="J6" s="8">
        <f t="shared" si="2"/>
        <v>0.64607633505271289</v>
      </c>
      <c r="K6" s="8">
        <f t="shared" si="3"/>
        <v>8.5191422436788936E-7</v>
      </c>
      <c r="L6" s="8">
        <f>E6/(Table112324567[[#This Row],[b (mm)]]*AC6)</f>
        <v>8.4920634920634919E-4</v>
      </c>
      <c r="M6" s="8">
        <f>Table112324567[[#This Row],[M (KN.mm)]]/(Table112324567[[#This Row],[b (mm)]]*Table112324567[[#This Row],[d (mm)]])</f>
        <v>4.5902999999999992</v>
      </c>
      <c r="N6" s="8">
        <f>Table112324567[[#This Row],[M (KN.mm)]]/(Table112324567[[#This Row],[b (mm)]]*Table112324567[[#This Row],[h (mm)]])</f>
        <v>4.3378334999999995</v>
      </c>
      <c r="O6" s="8">
        <f>Table112324567[[#This Row],[M (KN.mm)]]/(Table112324567[[#This Row],[b (mm)]]*Table112324567[[#This Row],[h (mm)]]*Table112324567[[#This Row],[L(mm)]])</f>
        <v>4.0124999999999997E-4</v>
      </c>
      <c r="P6" s="8">
        <f>Table112324567[[#This Row],[M (KN.mm)]]/(Table112324567[[#This Row],[b (mm)]]*Table112324567[[#This Row],[d (mm)]]*Table112324567[[#This Row],[L(mm)]])</f>
        <v>4.2460317460317454E-4</v>
      </c>
      <c r="Q6" s="8">
        <f>Table112324567[[#This Row],[M (KN.mm)]]/(Table112324567[[#This Row],[b (mm)]]*Table112324567[[#This Row],[h (mm)]]*Table112324567[[#This Row],[L(mm)]]*Table112324567[[#This Row],[fc (Mpa)]])</f>
        <v>1.2617924528301885E-5</v>
      </c>
      <c r="R6" s="8">
        <f>Table112324567[[#This Row],[M (KN.mm)]]/(Table112324567[[#This Row],[b (mm)]]*Table112324567[[#This Row],[h (mm)]]*Table112324567[[#This Row],[L(mm)]]/2)</f>
        <v>8.0249999999999994E-4</v>
      </c>
      <c r="S6" s="8">
        <f>Table112324567[[#This Row],[M (KN.mm)]]/(Table112324567[[#This Row],[a (mm)]]*Table112324567[[#This Row],[b (mm)]]*Table112324567[[#This Row],[h (mm)]]*Table112324567[[#This Row],[L(mm)]]/2)</f>
        <v>1.4846264846264846E-7</v>
      </c>
      <c r="T6" s="8">
        <f>G6/($AN$5*AK6*0.001*Table112324567[[#This Row],[pho (%)]])</f>
        <v>6.6772822048453859E-7</v>
      </c>
      <c r="U6" s="8">
        <f>Table112324567[[#This Row],[M (KN.mm)]]/(Table112324567[[#This Row],[b (mm)]]*Table112324567[[#This Row],[d (mm)]]*Table112324567[[#This Row],[pho (%)]])</f>
        <v>6.2031081081081076</v>
      </c>
      <c r="V6" s="8">
        <f>E6*224.8/(2*SQRT(Table112324567[[#This Row],[fc (Mpa)]]*145.037)*Table112324567[[#This Row],[b (mm)]]*Table112324567[[#This Row],[d (mm)]]*(1/25.4)^2)</f>
        <v>0.90676346426859733</v>
      </c>
      <c r="W6" s="8">
        <f>Table112324567[[#This Row],[M (KN.mm)]]/$G$10</f>
        <v>0.74076923076923074</v>
      </c>
      <c r="X6" s="8">
        <f>E6*224.8/(2*SQRT(Table112324567[[#This Row],[fc (Mpa)]]*145.037)*Table112324567[[#This Row],[b (mm)]]*Table112324567[[#This Row],[d (mm)]]*(1/25.4)^2+Table112324567[[#This Row],[Av fy d/s (N)]]*0.2248)</f>
        <v>0.67050123299701736</v>
      </c>
      <c r="Y6" s="8">
        <v>0.33</v>
      </c>
      <c r="Z6" s="8">
        <f>Table112324567[[#This Row],[Av fy/(b S) (Mpa)]]*Table112324567[[#This Row],[d (mm)]]*Table112324567[[#This Row],[b (mm)]]</f>
        <v>187110</v>
      </c>
      <c r="AA6" s="8">
        <f>Table112324567[[#This Row],[d (mm)]]/590</f>
        <v>3.2033898305084745</v>
      </c>
      <c r="AB6" s="8">
        <f>Table112324567[[#This Row],[a/d]]*Table112324567[[#This Row],[d]]</f>
        <v>5405.4</v>
      </c>
      <c r="AC6" s="8">
        <f>Table112324567[[#This Row],[d]]</f>
        <v>1890</v>
      </c>
      <c r="AD6" s="8">
        <v>2000</v>
      </c>
      <c r="AE6" s="5">
        <v>300</v>
      </c>
      <c r="AF6" s="5">
        <v>31.8</v>
      </c>
      <c r="AG6" s="8">
        <f>Table112324567[[#This Row],[pho (%)]]/100*Table112324567[[#This Row],[b (mm)]]*Table112324567[[#This Row],[d (mm)]]</f>
        <v>4195.8</v>
      </c>
      <c r="AH6" s="8">
        <v>0.74</v>
      </c>
      <c r="AI6" s="8">
        <v>508</v>
      </c>
      <c r="AJ6" s="8">
        <f>(1/3-0.21*(MIN(Table112324567[[#This Row],[b (mm)]],AD6)/MAX(Table112324567[[#This Row],[b (mm)]],AD6))*(MIN(Table112324567[[#This Row],[b (mm)]],AD6)^4/(12*MAX(Table112324567[[#This Row],[b (mm)]],AD6)^4)))*MAX(Table112324567[[#This Row],[b (mm)]],AD6)*MIN(Table112324567[[#This Row],[b (mm)]],AD6)^3</f>
        <v>17999928239.0625</v>
      </c>
      <c r="AK6" s="8">
        <f>Table112324567[[#This Row],[b (mm)]]*AD6^3/12</f>
        <v>200000000000</v>
      </c>
      <c r="AL6" s="8">
        <f>2*Table112324567[[#This Row],[a (mm)]]</f>
        <v>10810.8</v>
      </c>
      <c r="AM6" s="12" t="s">
        <v>12</v>
      </c>
      <c r="AN6" s="6">
        <f>AN5/(2*(1+0.15))</f>
        <v>11450.774071786596</v>
      </c>
    </row>
    <row r="7" spans="1:42" customFormat="1" x14ac:dyDescent="0.25">
      <c r="A7" s="27" t="s">
        <v>148</v>
      </c>
      <c r="B7" s="27">
        <v>6</v>
      </c>
      <c r="C7" s="15">
        <v>6</v>
      </c>
      <c r="D7" s="64">
        <v>2.86</v>
      </c>
      <c r="E7" s="15">
        <v>526.5</v>
      </c>
      <c r="F7" s="3">
        <v>1890</v>
      </c>
      <c r="G7" s="8">
        <f t="shared" si="0"/>
        <v>2845943.0999999996</v>
      </c>
      <c r="H7" s="8">
        <f t="shared" si="1"/>
        <v>5.4029821803319028E-7</v>
      </c>
      <c r="I7" s="8">
        <f>G7/(Table112324567[[#This Row],[b (mm)]]*AC7^2)</f>
        <v>2.6557142857142856E-3</v>
      </c>
      <c r="J7" s="8">
        <f t="shared" si="2"/>
        <v>0.70645730094548975</v>
      </c>
      <c r="K7" s="8">
        <f t="shared" si="3"/>
        <v>9.3153237617797244E-7</v>
      </c>
      <c r="L7" s="8">
        <f>E7/(Table112324567[[#This Row],[b (mm)]]*AC7)</f>
        <v>9.2857142857142856E-4</v>
      </c>
      <c r="M7" s="8">
        <f>Table112324567[[#This Row],[M (KN.mm)]]/(Table112324567[[#This Row],[b (mm)]]*Table112324567[[#This Row],[d (mm)]])</f>
        <v>5.0192999999999994</v>
      </c>
      <c r="N7" s="8">
        <f>Table112324567[[#This Row],[M (KN.mm)]]/(Table112324567[[#This Row],[b (mm)]]*Table112324567[[#This Row],[h (mm)]])</f>
        <v>4.7432384999999995</v>
      </c>
      <c r="O7" s="8">
        <f>Table112324567[[#This Row],[M (KN.mm)]]/(Table112324567[[#This Row],[b (mm)]]*Table112324567[[#This Row],[h (mm)]]*Table112324567[[#This Row],[L(mm)]])</f>
        <v>4.3874999999999996E-4</v>
      </c>
      <c r="P7" s="8">
        <f>Table112324567[[#This Row],[M (KN.mm)]]/(Table112324567[[#This Row],[b (mm)]]*Table112324567[[#This Row],[d (mm)]]*Table112324567[[#This Row],[L(mm)]])</f>
        <v>4.6428571428571423E-4</v>
      </c>
      <c r="Q7" s="8">
        <f>Table112324567[[#This Row],[M (KN.mm)]]/(Table112324567[[#This Row],[b (mm)]]*Table112324567[[#This Row],[h (mm)]]*Table112324567[[#This Row],[L(mm)]]*Table112324567[[#This Row],[fc (Mpa)]])</f>
        <v>1.3797169811320753E-5</v>
      </c>
      <c r="R7" s="8">
        <f>Table112324567[[#This Row],[M (KN.mm)]]/(Table112324567[[#This Row],[b (mm)]]*Table112324567[[#This Row],[h (mm)]]*Table112324567[[#This Row],[L(mm)]]/2)</f>
        <v>8.7749999999999992E-4</v>
      </c>
      <c r="S7" s="8">
        <f>Table112324567[[#This Row],[M (KN.mm)]]/(Table112324567[[#This Row],[a (mm)]]*Table112324567[[#This Row],[b (mm)]]*Table112324567[[#This Row],[h (mm)]]*Table112324567[[#This Row],[L(mm)]]/2)</f>
        <v>1.6233766233766232E-7</v>
      </c>
      <c r="T7" s="8">
        <f>G7/($AN$5*AK7*0.001*Table112324567[[#This Row],[pho (%)]])</f>
        <v>7.3013272707187872E-7</v>
      </c>
      <c r="U7" s="8">
        <f>Table112324567[[#This Row],[M (KN.mm)]]/(Table112324567[[#This Row],[b (mm)]]*Table112324567[[#This Row],[d (mm)]]*Table112324567[[#This Row],[pho (%)]])</f>
        <v>6.7828378378378371</v>
      </c>
      <c r="V7" s="8">
        <f>E7*224.8/(2*SQRT(Table112324567[[#This Row],[fc (Mpa)]]*145.037)*Table112324567[[#This Row],[b (mm)]]*Table112324567[[#This Row],[d (mm)]]*(1/25.4)^2)</f>
        <v>0.99150771326566245</v>
      </c>
      <c r="W7" s="8">
        <f>Table112324567[[#This Row],[M (KN.mm)]]/$G$10</f>
        <v>0.81</v>
      </c>
      <c r="X7" s="8">
        <f>E7*224.8/(2*SQRT(Table112324567[[#This Row],[fc (Mpa)]]*145.037)*Table112324567[[#This Row],[b (mm)]]*Table112324567[[#This Row],[d (mm)]]*(1/25.4)^2+Table112324567[[#This Row],[Av fy d/s (N)]]*0.2248)</f>
        <v>0.73316489963225262</v>
      </c>
      <c r="Y7" s="8">
        <v>0.33</v>
      </c>
      <c r="Z7" s="8">
        <f>Table112324567[[#This Row],[Av fy/(b S) (Mpa)]]*Table112324567[[#This Row],[d (mm)]]*Table112324567[[#This Row],[b (mm)]]</f>
        <v>187110</v>
      </c>
      <c r="AA7" s="8">
        <f>Table112324567[[#This Row],[d (mm)]]/590</f>
        <v>3.2033898305084745</v>
      </c>
      <c r="AB7" s="8">
        <f>Table112324567[[#This Row],[a/d]]*Table112324567[[#This Row],[d]]</f>
        <v>5405.4</v>
      </c>
      <c r="AC7" s="8">
        <f>Table112324567[[#This Row],[d]]</f>
        <v>1890</v>
      </c>
      <c r="AD7" s="8">
        <v>2000</v>
      </c>
      <c r="AE7" s="5">
        <v>300</v>
      </c>
      <c r="AF7" s="5">
        <v>31.8</v>
      </c>
      <c r="AG7" s="8">
        <f>Table112324567[[#This Row],[pho (%)]]/100*Table112324567[[#This Row],[b (mm)]]*Table112324567[[#This Row],[d (mm)]]</f>
        <v>4195.8</v>
      </c>
      <c r="AH7" s="8">
        <v>0.74</v>
      </c>
      <c r="AI7" s="8">
        <v>508</v>
      </c>
      <c r="AJ7" s="8">
        <f>(1/3-0.21*(MIN(Table112324567[[#This Row],[b (mm)]],AD7)/MAX(Table112324567[[#This Row],[b (mm)]],AD7))*(MIN(Table112324567[[#This Row],[b (mm)]],AD7)^4/(12*MAX(Table112324567[[#This Row],[b (mm)]],AD7)^4)))*MAX(Table112324567[[#This Row],[b (mm)]],AD7)*MIN(Table112324567[[#This Row],[b (mm)]],AD7)^3</f>
        <v>17999928239.0625</v>
      </c>
      <c r="AK7" s="8">
        <f>Table112324567[[#This Row],[b (mm)]]*AD7^3/12</f>
        <v>200000000000</v>
      </c>
      <c r="AL7" s="8">
        <f>2*Table112324567[[#This Row],[a (mm)]]</f>
        <v>10810.8</v>
      </c>
    </row>
    <row r="8" spans="1:42" customFormat="1" x14ac:dyDescent="0.25">
      <c r="A8" s="27" t="s">
        <v>148</v>
      </c>
      <c r="B8" s="27">
        <v>7</v>
      </c>
      <c r="C8" s="3">
        <v>7</v>
      </c>
      <c r="D8" s="64">
        <v>2.86</v>
      </c>
      <c r="E8" s="15">
        <v>569</v>
      </c>
      <c r="F8" s="3">
        <v>1890</v>
      </c>
      <c r="G8" s="8">
        <f t="shared" si="0"/>
        <v>3075672.5999999996</v>
      </c>
      <c r="H8" s="8">
        <f t="shared" si="1"/>
        <v>5.8391203430367567E-7</v>
      </c>
      <c r="I8" s="8">
        <f>G8/(Table112324567[[#This Row],[b (mm)]]*AC8^2)</f>
        <v>2.8700881834215165E-3</v>
      </c>
      <c r="J8" s="8">
        <f t="shared" si="2"/>
        <v>0.76348376873311241</v>
      </c>
      <c r="K8" s="8">
        <f t="shared" si="3"/>
        <v>1.0067272973319398E-6</v>
      </c>
      <c r="L8" s="8">
        <f>E8/(Table112324567[[#This Row],[b (mm)]]*AC8)</f>
        <v>1.0035273368606702E-3</v>
      </c>
      <c r="M8" s="8">
        <f>Table112324567[[#This Row],[M (KN.mm)]]/(Table112324567[[#This Row],[b (mm)]]*Table112324567[[#This Row],[d (mm)]])</f>
        <v>5.4244666666666657</v>
      </c>
      <c r="N8" s="8">
        <f>Table112324567[[#This Row],[M (KN.mm)]]/(Table112324567[[#This Row],[b (mm)]]*Table112324567[[#This Row],[h (mm)]])</f>
        <v>5.1261209999999995</v>
      </c>
      <c r="O8" s="8">
        <f>Table112324567[[#This Row],[M (KN.mm)]]/(Table112324567[[#This Row],[b (mm)]]*Table112324567[[#This Row],[h (mm)]]*Table112324567[[#This Row],[L(mm)]])</f>
        <v>4.7416666666666663E-4</v>
      </c>
      <c r="P8" s="8">
        <f>Table112324567[[#This Row],[M (KN.mm)]]/(Table112324567[[#This Row],[b (mm)]]*Table112324567[[#This Row],[d (mm)]]*Table112324567[[#This Row],[L(mm)]])</f>
        <v>5.0176366843033508E-4</v>
      </c>
      <c r="Q8" s="8">
        <f>Table112324567[[#This Row],[M (KN.mm)]]/(Table112324567[[#This Row],[b (mm)]]*Table112324567[[#This Row],[h (mm)]]*Table112324567[[#This Row],[L(mm)]]*Table112324567[[#This Row],[fc (Mpa)]])</f>
        <v>1.491090146750524E-5</v>
      </c>
      <c r="R8" s="8">
        <f>Table112324567[[#This Row],[M (KN.mm)]]/(Table112324567[[#This Row],[b (mm)]]*Table112324567[[#This Row],[h (mm)]]*Table112324567[[#This Row],[L(mm)]]/2)</f>
        <v>9.4833333333333325E-4</v>
      </c>
      <c r="S8" s="8">
        <f>Table112324567[[#This Row],[M (KN.mm)]]/(Table112324567[[#This Row],[a (mm)]]*Table112324567[[#This Row],[b (mm)]]*Table112324567[[#This Row],[h (mm)]]*Table112324567[[#This Row],[L(mm)]]/2)</f>
        <v>1.7544184210850878E-7</v>
      </c>
      <c r="T8" s="8">
        <f>G8/($AN$5*AK8*0.001*Table112324567[[#This Row],[pho (%)]])</f>
        <v>7.890703166265888E-7</v>
      </c>
      <c r="U8" s="8">
        <f>Table112324567[[#This Row],[M (KN.mm)]]/(Table112324567[[#This Row],[b (mm)]]*Table112324567[[#This Row],[d (mm)]]*Table112324567[[#This Row],[pho (%)]])</f>
        <v>7.3303603603603591</v>
      </c>
      <c r="V8" s="8">
        <f>E8*224.8/(2*SQRT(Table112324567[[#This Row],[fc (Mpa)]]*145.037)*Table112324567[[#This Row],[b (mm)]]*Table112324567[[#This Row],[d (mm)]]*(1/25.4)^2)</f>
        <v>1.0715439484295575</v>
      </c>
      <c r="W8" s="8">
        <f>Table112324567[[#This Row],[M (KN.mm)]]/$G$10</f>
        <v>0.87538461538461543</v>
      </c>
      <c r="X8" s="8">
        <f>E8*224.8/(2*SQRT(Table112324567[[#This Row],[fc (Mpa)]]*145.037)*Table112324567[[#This Row],[b (mm)]]*Table112324567[[#This Row],[d (mm)]]*(1/25.4)^2+Table112324567[[#This Row],[Av fy d/s (N)]]*0.2248)</f>
        <v>0.7923472514544192</v>
      </c>
      <c r="Y8" s="8">
        <v>0.33</v>
      </c>
      <c r="Z8" s="8">
        <f>Table112324567[[#This Row],[Av fy/(b S) (Mpa)]]*Table112324567[[#This Row],[d (mm)]]*Table112324567[[#This Row],[b (mm)]]</f>
        <v>187110</v>
      </c>
      <c r="AA8" s="8">
        <f>Table112324567[[#This Row],[d (mm)]]/590</f>
        <v>3.2033898305084745</v>
      </c>
      <c r="AB8" s="8">
        <f>Table112324567[[#This Row],[a/d]]*Table112324567[[#This Row],[d]]</f>
        <v>5405.4</v>
      </c>
      <c r="AC8" s="8">
        <f>Table112324567[[#This Row],[d]]</f>
        <v>1890</v>
      </c>
      <c r="AD8" s="8">
        <v>2000</v>
      </c>
      <c r="AE8" s="5">
        <v>300</v>
      </c>
      <c r="AF8" s="5">
        <v>31.8</v>
      </c>
      <c r="AG8" s="8">
        <f>Table112324567[[#This Row],[pho (%)]]/100*Table112324567[[#This Row],[b (mm)]]*Table112324567[[#This Row],[d (mm)]]</f>
        <v>4195.8</v>
      </c>
      <c r="AH8" s="8">
        <v>0.74</v>
      </c>
      <c r="AI8" s="8">
        <v>508</v>
      </c>
      <c r="AJ8" s="8">
        <f>(1/3-0.21*(MIN(Table112324567[[#This Row],[b (mm)]],AD8)/MAX(Table112324567[[#This Row],[b (mm)]],AD8))*(MIN(Table112324567[[#This Row],[b (mm)]],AD8)^4/(12*MAX(Table112324567[[#This Row],[b (mm)]],AD8)^4)))*MAX(Table112324567[[#This Row],[b (mm)]],AD8)*MIN(Table112324567[[#This Row],[b (mm)]],AD8)^3</f>
        <v>17999928239.0625</v>
      </c>
      <c r="AK8" s="8">
        <f>Table112324567[[#This Row],[b (mm)]]*AD8^3/12</f>
        <v>200000000000</v>
      </c>
      <c r="AL8" s="8">
        <f>2*Table112324567[[#This Row],[a (mm)]]</f>
        <v>10810.8</v>
      </c>
    </row>
    <row r="9" spans="1:42" x14ac:dyDescent="0.25">
      <c r="A9" s="27" t="s">
        <v>148</v>
      </c>
      <c r="B9" s="27">
        <v>8</v>
      </c>
      <c r="C9" s="15">
        <v>8</v>
      </c>
      <c r="D9" s="64">
        <v>2.86</v>
      </c>
      <c r="E9" s="15">
        <v>624.5</v>
      </c>
      <c r="F9" s="3">
        <v>1890</v>
      </c>
      <c r="G9" s="8">
        <f t="shared" si="0"/>
        <v>3375672.3</v>
      </c>
      <c r="H9" s="8">
        <f t="shared" si="1"/>
        <v>6.4086654731572143E-7</v>
      </c>
      <c r="I9" s="8">
        <f>G9/(Table112324567[[#This Row],[b (mm)]]*AC9^2)</f>
        <v>3.1500352733686066E-3</v>
      </c>
      <c r="J9" s="8">
        <f t="shared" si="2"/>
        <v>0.83795362666753737</v>
      </c>
      <c r="K9" s="8">
        <f t="shared" si="3"/>
        <v>1.104923017897709E-6</v>
      </c>
      <c r="L9" s="8">
        <f>E9/(Table112324567[[#This Row],[b (mm)]]*AC9)</f>
        <v>1.101410934744268E-3</v>
      </c>
      <c r="M9" s="8">
        <f>Table112324567[[#This Row],[M (KN.mm)]]/(Table112324567[[#This Row],[b (mm)]]*Table112324567[[#This Row],[d (mm)]])</f>
        <v>5.9535666666666662</v>
      </c>
      <c r="N9" s="8">
        <f>Table112324567[[#This Row],[M (KN.mm)]]/(Table112324567[[#This Row],[b (mm)]]*Table112324567[[#This Row],[h (mm)]])</f>
        <v>5.6261204999999999</v>
      </c>
      <c r="O9" s="8">
        <f>Table112324567[[#This Row],[M (KN.mm)]]/(Table112324567[[#This Row],[b (mm)]]*Table112324567[[#This Row],[h (mm)]]*Table112324567[[#This Row],[L(mm)]])</f>
        <v>5.2041666666666664E-4</v>
      </c>
      <c r="P9" s="8">
        <f>Table112324567[[#This Row],[M (KN.mm)]]/(Table112324567[[#This Row],[b (mm)]]*Table112324567[[#This Row],[d (mm)]]*Table112324567[[#This Row],[L(mm)]])</f>
        <v>5.5070546737213402E-4</v>
      </c>
      <c r="Q9" s="8">
        <f>Table112324567[[#This Row],[M (KN.mm)]]/(Table112324567[[#This Row],[b (mm)]]*Table112324567[[#This Row],[h (mm)]]*Table112324567[[#This Row],[L(mm)]]*Table112324567[[#This Row],[fc (Mpa)]])</f>
        <v>1.6365303983228512E-5</v>
      </c>
      <c r="R9" s="8">
        <f>Table112324567[[#This Row],[M (KN.mm)]]/(Table112324567[[#This Row],[b (mm)]]*Table112324567[[#This Row],[h (mm)]]*Table112324567[[#This Row],[L(mm)]]/2)</f>
        <v>1.0408333333333333E-3</v>
      </c>
      <c r="S9" s="8">
        <f>Table112324567[[#This Row],[M (KN.mm)]]/(Table112324567[[#This Row],[a (mm)]]*Table112324567[[#This Row],[b (mm)]]*Table112324567[[#This Row],[h (mm)]]*Table112324567[[#This Row],[L(mm)]]/2)</f>
        <v>1.9255435922102589E-7</v>
      </c>
      <c r="T9" s="8">
        <f>G9/($AN$5*AK9*0.001*Table112324567[[#This Row],[pho (%)]])</f>
        <v>8.6603587475097492E-7</v>
      </c>
      <c r="U9" s="8">
        <f>Table112324567[[#This Row],[M (KN.mm)]]/(Table112324567[[#This Row],[b (mm)]]*Table112324567[[#This Row],[d (mm)]]*Table112324567[[#This Row],[pho (%)]])</f>
        <v>8.0453603603603607</v>
      </c>
      <c r="V9" s="8">
        <f>E9*224.8/(2*SQRT(Table112324567[[#This Row],[fc (Mpa)]]*145.037)*Table112324567[[#This Row],[b (mm)]]*Table112324567[[#This Row],[d (mm)]]*(1/25.4)^2)</f>
        <v>1.1760618555259377</v>
      </c>
      <c r="W9" s="8">
        <f>Table112324567[[#This Row],[M (KN.mm)]]/$G$10</f>
        <v>0.96076923076923082</v>
      </c>
      <c r="X9" s="8">
        <f>E9*224.8/(2*SQRT(Table112324567[[#This Row],[fc (Mpa)]]*145.037)*Table112324567[[#This Row],[b (mm)]]*Table112324567[[#This Row],[d (mm)]]*(1/25.4)^2+Table112324567[[#This Row],[Av fy d/s (N)]]*0.2248)</f>
        <v>0.86963244030454268</v>
      </c>
      <c r="Y9" s="8">
        <v>0.33</v>
      </c>
      <c r="Z9" s="8">
        <f>Table112324567[[#This Row],[Av fy/(b S) (Mpa)]]*Table112324567[[#This Row],[d (mm)]]*Table112324567[[#This Row],[b (mm)]]</f>
        <v>187110</v>
      </c>
      <c r="AA9" s="8">
        <f>Table112324567[[#This Row],[d (mm)]]/590</f>
        <v>3.2033898305084745</v>
      </c>
      <c r="AB9" s="8">
        <f>Table112324567[[#This Row],[a/d]]*Table112324567[[#This Row],[d]]</f>
        <v>5405.4</v>
      </c>
      <c r="AC9" s="8">
        <f>Table112324567[[#This Row],[d]]</f>
        <v>1890</v>
      </c>
      <c r="AD9" s="8">
        <v>2000</v>
      </c>
      <c r="AE9" s="5">
        <v>300</v>
      </c>
      <c r="AF9" s="5">
        <v>31.8</v>
      </c>
      <c r="AG9" s="8">
        <f>Table112324567[[#This Row],[pho (%)]]/100*Table112324567[[#This Row],[b (mm)]]*Table112324567[[#This Row],[d (mm)]]</f>
        <v>4195.8</v>
      </c>
      <c r="AH9" s="8">
        <v>0.74</v>
      </c>
      <c r="AI9" s="8">
        <v>508</v>
      </c>
      <c r="AJ9" s="8">
        <f>(1/3-0.21*(MIN(Table112324567[[#This Row],[b (mm)]],AD9)/MAX(Table112324567[[#This Row],[b (mm)]],AD9))*(MIN(Table112324567[[#This Row],[b (mm)]],AD9)^4/(12*MAX(Table112324567[[#This Row],[b (mm)]],AD9)^4)))*MAX(Table112324567[[#This Row],[b (mm)]],AD9)*MIN(Table112324567[[#This Row],[b (mm)]],AD9)^3</f>
        <v>17999928239.0625</v>
      </c>
      <c r="AK9" s="8">
        <f>Table112324567[[#This Row],[b (mm)]]*AD9^3/12</f>
        <v>200000000000</v>
      </c>
      <c r="AL9" s="8">
        <f>2*Table112324567[[#This Row],[a (mm)]]</f>
        <v>10810.8</v>
      </c>
      <c r="AM9" s="12"/>
      <c r="AN9" s="6"/>
    </row>
    <row r="10" spans="1:42" x14ac:dyDescent="0.25">
      <c r="A10" s="27" t="s">
        <v>148</v>
      </c>
      <c r="B10" s="27">
        <v>9</v>
      </c>
      <c r="C10" s="3">
        <v>9</v>
      </c>
      <c r="D10" s="64">
        <v>2.86</v>
      </c>
      <c r="E10" s="15">
        <v>650</v>
      </c>
      <c r="F10" s="3">
        <v>1890</v>
      </c>
      <c r="G10" s="8">
        <f t="shared" si="0"/>
        <v>3513509.9999999995</v>
      </c>
      <c r="H10" s="8">
        <f t="shared" si="1"/>
        <v>6.6703483707801267E-7</v>
      </c>
      <c r="I10" s="8">
        <f>G10/(Table112324567[[#This Row],[b (mm)]]*AC10^2)</f>
        <v>3.2786596119929448E-3</v>
      </c>
      <c r="J10" s="8">
        <f t="shared" si="2"/>
        <v>0.87216950734011089</v>
      </c>
      <c r="K10" s="8">
        <f t="shared" si="3"/>
        <v>1.1500399705900895E-6</v>
      </c>
      <c r="L10" s="8">
        <f>E10/(Table112324567[[#This Row],[b (mm)]]*AC10)</f>
        <v>1.1463844797178131E-3</v>
      </c>
      <c r="M10" s="8">
        <f>Table112324567[[#This Row],[M (KN.mm)]]/(Table112324567[[#This Row],[b (mm)]]*Table112324567[[#This Row],[d (mm)]])</f>
        <v>6.1966666666666654</v>
      </c>
      <c r="N10" s="8">
        <f>Table112324567[[#This Row],[M (KN.mm)]]/(Table112324567[[#This Row],[b (mm)]]*Table112324567[[#This Row],[h (mm)]])</f>
        <v>5.8558499999999993</v>
      </c>
      <c r="O10" s="8">
        <f>Table112324567[[#This Row],[M (KN.mm)]]/(Table112324567[[#This Row],[b (mm)]]*Table112324567[[#This Row],[h (mm)]]*Table112324567[[#This Row],[L(mm)]])</f>
        <v>5.4166666666666664E-4</v>
      </c>
      <c r="P10" s="8">
        <f>Table112324567[[#This Row],[M (KN.mm)]]/(Table112324567[[#This Row],[b (mm)]]*Table112324567[[#This Row],[d (mm)]]*Table112324567[[#This Row],[L(mm)]])</f>
        <v>5.7319223985890643E-4</v>
      </c>
      <c r="Q10" s="8">
        <f>Table112324567[[#This Row],[M (KN.mm)]]/(Table112324567[[#This Row],[b (mm)]]*Table112324567[[#This Row],[h (mm)]]*Table112324567[[#This Row],[L(mm)]]*Table112324567[[#This Row],[fc (Mpa)]])</f>
        <v>1.7033542976939203E-5</v>
      </c>
      <c r="R10" s="8">
        <f>Table112324567[[#This Row],[M (KN.mm)]]/(Table112324567[[#This Row],[b (mm)]]*Table112324567[[#This Row],[h (mm)]]*Table112324567[[#This Row],[L(mm)]]/2)</f>
        <v>1.0833333333333333E-3</v>
      </c>
      <c r="S10" s="8">
        <f>Table112324567[[#This Row],[M (KN.mm)]]/(Table112324567[[#This Row],[a (mm)]]*Table112324567[[#This Row],[b (mm)]]*Table112324567[[#This Row],[h (mm)]]*Table112324567[[#This Row],[L(mm)]]/2)</f>
        <v>2.0041686708353374E-7</v>
      </c>
      <c r="T10" s="8">
        <f>G10/($AN$5*AK10*0.001*Table112324567[[#This Row],[pho (%)]])</f>
        <v>9.0139842848380084E-7</v>
      </c>
      <c r="U10" s="8">
        <f>Table112324567[[#This Row],[M (KN.mm)]]/(Table112324567[[#This Row],[b (mm)]]*Table112324567[[#This Row],[d (mm)]]*Table112324567[[#This Row],[pho (%)]])</f>
        <v>8.3738738738738725</v>
      </c>
      <c r="V10" s="8">
        <f>E10*224.8/(2*SQRT(Table112324567[[#This Row],[fc (Mpa)]]*145.037)*Table112324567[[#This Row],[b (mm)]]*Table112324567[[#This Row],[d (mm)]]*(1/25.4)^2)</f>
        <v>1.2240835966242747</v>
      </c>
      <c r="W10" s="8">
        <f>Table112324567[[#This Row],[M (KN.mm)]]/$G$10</f>
        <v>1</v>
      </c>
      <c r="X10" s="8">
        <f>E10*224.8/(2*SQRT(Table112324567[[#This Row],[fc (Mpa)]]*145.037)*Table112324567[[#This Row],[b (mm)]]*Table112324567[[#This Row],[d (mm)]]*(1/25.4)^2+Table112324567[[#This Row],[Av fy d/s (N)]]*0.2248)</f>
        <v>0.90514185139784264</v>
      </c>
      <c r="Y10" s="8">
        <v>0.33</v>
      </c>
      <c r="Z10" s="8">
        <f>Table112324567[[#This Row],[Av fy/(b S) (Mpa)]]*Table112324567[[#This Row],[d (mm)]]*Table112324567[[#This Row],[b (mm)]]</f>
        <v>187110</v>
      </c>
      <c r="AA10" s="8">
        <f>Table112324567[[#This Row],[d (mm)]]/590</f>
        <v>3.2033898305084745</v>
      </c>
      <c r="AB10" s="8">
        <f>Table112324567[[#This Row],[a/d]]*Table112324567[[#This Row],[d]]</f>
        <v>5405.4</v>
      </c>
      <c r="AC10" s="8">
        <f>Table112324567[[#This Row],[d]]</f>
        <v>1890</v>
      </c>
      <c r="AD10" s="8">
        <v>2000</v>
      </c>
      <c r="AE10" s="5">
        <v>300</v>
      </c>
      <c r="AF10" s="5">
        <v>31.8</v>
      </c>
      <c r="AG10" s="8">
        <f>Table112324567[[#This Row],[pho (%)]]/100*Table112324567[[#This Row],[b (mm)]]*Table112324567[[#This Row],[d (mm)]]</f>
        <v>4195.8</v>
      </c>
      <c r="AH10" s="8">
        <v>0.74</v>
      </c>
      <c r="AI10" s="8">
        <v>508</v>
      </c>
      <c r="AJ10" s="8">
        <f>(1/3-0.21*(MIN(Table112324567[[#This Row],[b (mm)]],AD10)/MAX(Table112324567[[#This Row],[b (mm)]],AD10))*(MIN(Table112324567[[#This Row],[b (mm)]],AD10)^4/(12*MAX(Table112324567[[#This Row],[b (mm)]],AD10)^4)))*MAX(Table112324567[[#This Row],[b (mm)]],AD10)*MIN(Table112324567[[#This Row],[b (mm)]],AD10)^3</f>
        <v>17999928239.0625</v>
      </c>
      <c r="AK10" s="8">
        <f>Table112324567[[#This Row],[b (mm)]]*AD10^3/12</f>
        <v>200000000000</v>
      </c>
      <c r="AL10" s="8">
        <f>2*Table112324567[[#This Row],[a (mm)]]</f>
        <v>10810.8</v>
      </c>
      <c r="AM10" s="12"/>
      <c r="AN10" s="6"/>
    </row>
    <row r="11" spans="1:42" x14ac:dyDescent="0.25">
      <c r="A11" s="65" t="s">
        <v>149</v>
      </c>
      <c r="B11" s="65">
        <v>1</v>
      </c>
      <c r="C11" s="3">
        <v>10</v>
      </c>
      <c r="D11" s="64">
        <v>2.86</v>
      </c>
      <c r="E11" s="15">
        <v>114</v>
      </c>
      <c r="F11" s="3">
        <v>1890</v>
      </c>
      <c r="G11" s="8">
        <f t="shared" ref="G11:G16" si="4">E11*AB11</f>
        <v>616215.6</v>
      </c>
      <c r="H11" s="8">
        <f t="shared" ref="H11:H16" si="5">G11/($AN$5*AK11*0.001)</f>
        <v>1.1698764834906684E-7</v>
      </c>
      <c r="I11" s="8">
        <f>G11/(Table112324567[[#This Row],[b (mm)]]*AC11^2)</f>
        <v>5.7502645502645496E-4</v>
      </c>
      <c r="J11" s="8">
        <f t="shared" ref="J11:J16" si="6">G11/(AG11*AI11*AC11*0.001)</f>
        <v>0.15296511359503484</v>
      </c>
      <c r="K11" s="8">
        <f t="shared" ref="K11:K16" si="7">E11/($AN$4*AJ11*0.001)</f>
        <v>2.0169931791887722E-7</v>
      </c>
      <c r="L11" s="8">
        <f>E11/(Table112324567[[#This Row],[b (mm)]]*AC11)</f>
        <v>2.0105820105820107E-4</v>
      </c>
      <c r="M11" s="8">
        <f>Table112324567[[#This Row],[M (KN.mm)]]/(Table112324567[[#This Row],[b (mm)]]*Table112324567[[#This Row],[d (mm)]])</f>
        <v>1.0868</v>
      </c>
      <c r="N11" s="8">
        <f>Table112324567[[#This Row],[M (KN.mm)]]/(Table112324567[[#This Row],[b (mm)]]*Table112324567[[#This Row],[h (mm)]])</f>
        <v>1.027026</v>
      </c>
      <c r="O11" s="8">
        <f>Table112324567[[#This Row],[M (KN.mm)]]/(Table112324567[[#This Row],[b (mm)]]*Table112324567[[#This Row],[h (mm)]]*Table112324567[[#This Row],[L(mm)]])</f>
        <v>9.4999999999999992E-5</v>
      </c>
      <c r="P11" s="8">
        <f>Table112324567[[#This Row],[M (KN.mm)]]/(Table112324567[[#This Row],[b (mm)]]*Table112324567[[#This Row],[d (mm)]]*Table112324567[[#This Row],[L(mm)]])</f>
        <v>1.0052910052910052E-4</v>
      </c>
      <c r="Q11" s="8">
        <f>Table112324567[[#This Row],[M (KN.mm)]]/(Table112324567[[#This Row],[b (mm)]]*Table112324567[[#This Row],[h (mm)]]*Table112324567[[#This Row],[L(mm)]]*Table112324567[[#This Row],[fc (Mpa)]])</f>
        <v>2.753623188405797E-6</v>
      </c>
      <c r="R11" s="8">
        <f>Table112324567[[#This Row],[M (KN.mm)]]/(Table112324567[[#This Row],[b (mm)]]*Table112324567[[#This Row],[h (mm)]]*Table112324567[[#This Row],[L(mm)]]/2)</f>
        <v>1.8999999999999998E-4</v>
      </c>
      <c r="S11" s="8">
        <f>Table112324567[[#This Row],[M (KN.mm)]]/(Table112324567[[#This Row],[a (mm)]]*Table112324567[[#This Row],[b (mm)]]*Table112324567[[#This Row],[h (mm)]]*Table112324567[[#This Row],[L(mm)]]/2)</f>
        <v>3.5150035150035153E-8</v>
      </c>
      <c r="T11" s="8">
        <f>G11/($AN$5*AK11*0.001*Table112324567[[#This Row],[pho (%)]])</f>
        <v>1.5809141668792817E-7</v>
      </c>
      <c r="U11" s="8">
        <f>Table112324567[[#This Row],[M (KN.mm)]]/(Table112324567[[#This Row],[b (mm)]]*Table112324567[[#This Row],[d (mm)]]*Table112324567[[#This Row],[pho (%)]])</f>
        <v>1.4686486486486485</v>
      </c>
      <c r="V11" s="8">
        <f>E11*224.8/(2*SQRT(Table112324567[[#This Row],[fc (Mpa)]]*145.037)*Table112324567[[#This Row],[b (mm)]]*Table112324567[[#This Row],[d (mm)]]*(1/25.4)^2)</f>
        <v>0.20611356988903959</v>
      </c>
      <c r="W11" s="8">
        <f>Table112324567[[#This Row],[M (KN.mm)]]/$G$16</f>
        <v>0.21652421652421655</v>
      </c>
      <c r="X11" s="8">
        <f>E11*224.8/(2*SQRT(Table112324567[[#This Row],[fc (Mpa)]]*145.037)*Table112324567[[#This Row],[b (mm)]]*Table112324567[[#This Row],[d (mm)]]*(1/25.4)^2+Table112324567[[#This Row],[Av fy d/s (N)]]*0.2248)</f>
        <v>0.15401177732175753</v>
      </c>
      <c r="Y11" s="8">
        <v>0.33</v>
      </c>
      <c r="Z11" s="8">
        <f>Table112324567[[#This Row],[Av fy/(b S) (Mpa)]]*Table112324567[[#This Row],[d (mm)]]*Table112324567[[#This Row],[b (mm)]]</f>
        <v>187110</v>
      </c>
      <c r="AA11" s="8">
        <f>Table112324567[[#This Row],[d (mm)]]/1350</f>
        <v>1.4</v>
      </c>
      <c r="AB11" s="8">
        <f>Table112324567[[#This Row],[a/d]]*Table112324567[[#This Row],[d]]</f>
        <v>5405.4</v>
      </c>
      <c r="AC11" s="8">
        <f>Table112324567[[#This Row],[d]]</f>
        <v>1890</v>
      </c>
      <c r="AD11" s="8">
        <v>2000</v>
      </c>
      <c r="AE11" s="5">
        <v>300</v>
      </c>
      <c r="AF11" s="15">
        <v>34.5</v>
      </c>
      <c r="AG11" s="8">
        <f>Table112324567[[#This Row],[pho (%)]]/100*Table112324567[[#This Row],[b (mm)]]*Table112324567[[#This Row],[d (mm)]]</f>
        <v>4195.8</v>
      </c>
      <c r="AH11" s="8">
        <v>0.74</v>
      </c>
      <c r="AI11" s="8">
        <v>508</v>
      </c>
      <c r="AJ11" s="8">
        <f>(1/3-0.21*(MIN(Table112324567[[#This Row],[b (mm)]],AD11)/MAX(Table112324567[[#This Row],[b (mm)]],AD11))*(MIN(Table112324567[[#This Row],[b (mm)]],AD11)^4/(12*MAX(Table112324567[[#This Row],[b (mm)]],AD11)^4)))*MAX(Table112324567[[#This Row],[b (mm)]],AD11)*MIN(Table112324567[[#This Row],[b (mm)]],AD11)^3</f>
        <v>17999928239.0625</v>
      </c>
      <c r="AK11" s="8">
        <f>Table112324567[[#This Row],[b (mm)]]*AD11^3/12</f>
        <v>200000000000</v>
      </c>
      <c r="AL11" s="8">
        <f>2*Table112324567[[#This Row],[a (mm)]]</f>
        <v>10810.8</v>
      </c>
      <c r="AM11" s="12"/>
      <c r="AN11" s="6"/>
    </row>
    <row r="12" spans="1:42" x14ac:dyDescent="0.25">
      <c r="A12" s="65" t="s">
        <v>149</v>
      </c>
      <c r="B12" s="65">
        <v>2</v>
      </c>
      <c r="C12" s="15">
        <v>11</v>
      </c>
      <c r="D12" s="64">
        <v>2.86</v>
      </c>
      <c r="E12" s="15">
        <v>296</v>
      </c>
      <c r="F12" s="3">
        <v>1890</v>
      </c>
      <c r="G12" s="8">
        <f t="shared" si="4"/>
        <v>1599998.4</v>
      </c>
      <c r="H12" s="8">
        <f t="shared" si="5"/>
        <v>3.0375740273091041E-7</v>
      </c>
      <c r="I12" s="8">
        <f>G12/(Table112324567[[#This Row],[b (mm)]]*AC12^2)</f>
        <v>1.4930511463844796E-3</v>
      </c>
      <c r="J12" s="8">
        <f t="shared" si="6"/>
        <v>0.39717257565026587</v>
      </c>
      <c r="K12" s="8">
        <f t="shared" si="7"/>
        <v>5.2371050968410231E-7</v>
      </c>
      <c r="L12" s="8">
        <f>E12/(Table112324567[[#This Row],[b (mm)]]*AC12)</f>
        <v>5.2204585537918877E-4</v>
      </c>
      <c r="M12" s="8">
        <f>Table112324567[[#This Row],[M (KN.mm)]]/(Table112324567[[#This Row],[b (mm)]]*Table112324567[[#This Row],[d (mm)]])</f>
        <v>2.8218666666666663</v>
      </c>
      <c r="N12" s="8">
        <f>Table112324567[[#This Row],[M (KN.mm)]]/(Table112324567[[#This Row],[b (mm)]]*Table112324567[[#This Row],[h (mm)]])</f>
        <v>2.6666639999999999</v>
      </c>
      <c r="O12" s="8">
        <f>Table112324567[[#This Row],[M (KN.mm)]]/(Table112324567[[#This Row],[b (mm)]]*Table112324567[[#This Row],[h (mm)]]*Table112324567[[#This Row],[L(mm)]])</f>
        <v>2.4666666666666663E-4</v>
      </c>
      <c r="P12" s="8">
        <f>Table112324567[[#This Row],[M (KN.mm)]]/(Table112324567[[#This Row],[b (mm)]]*Table112324567[[#This Row],[d (mm)]]*Table112324567[[#This Row],[L(mm)]])</f>
        <v>2.6102292768959433E-4</v>
      </c>
      <c r="Q12" s="8">
        <f>Table112324567[[#This Row],[M (KN.mm)]]/(Table112324567[[#This Row],[b (mm)]]*Table112324567[[#This Row],[h (mm)]]*Table112324567[[#This Row],[L(mm)]]*Table112324567[[#This Row],[fc (Mpa)]])</f>
        <v>7.1497584541062798E-6</v>
      </c>
      <c r="R12" s="8">
        <f>Table112324567[[#This Row],[M (KN.mm)]]/(Table112324567[[#This Row],[b (mm)]]*Table112324567[[#This Row],[h (mm)]]*Table112324567[[#This Row],[L(mm)]]/2)</f>
        <v>4.9333333333333325E-4</v>
      </c>
      <c r="S12" s="8">
        <f>Table112324567[[#This Row],[M (KN.mm)]]/(Table112324567[[#This Row],[a (mm)]]*Table112324567[[#This Row],[b (mm)]]*Table112324567[[#This Row],[h (mm)]]*Table112324567[[#This Row],[L(mm)]]/2)</f>
        <v>9.1266757933424602E-8</v>
      </c>
      <c r="T12" s="8">
        <f>G12/($AN$5*AK12*0.001*Table112324567[[#This Row],[pho (%)]])</f>
        <v>4.1048297666339245E-7</v>
      </c>
      <c r="U12" s="8">
        <f>Table112324567[[#This Row],[M (KN.mm)]]/(Table112324567[[#This Row],[b (mm)]]*Table112324567[[#This Row],[d (mm)]]*Table112324567[[#This Row],[pho (%)]])</f>
        <v>3.813333333333333</v>
      </c>
      <c r="V12" s="8">
        <f>E12*224.8/(2*SQRT(Table112324567[[#This Row],[fc (Mpa)]]*145.037)*Table112324567[[#This Row],[b (mm)]]*Table112324567[[#This Row],[d (mm)]]*(1/25.4)^2)</f>
        <v>0.53517207620312035</v>
      </c>
      <c r="W12" s="8">
        <f>Table112324567[[#This Row],[M (KN.mm)]]/$G$16</f>
        <v>0.5622032288698956</v>
      </c>
      <c r="X12" s="8">
        <f>E12*224.8/(2*SQRT(Table112324567[[#This Row],[fc (Mpa)]]*145.037)*Table112324567[[#This Row],[b (mm)]]*Table112324567[[#This Row],[d (mm)]]*(1/25.4)^2+Table112324567[[#This Row],[Av fy d/s (N)]]*0.2248)</f>
        <v>0.39989022883544062</v>
      </c>
      <c r="Y12" s="8">
        <v>0.33</v>
      </c>
      <c r="Z12" s="8">
        <f>Table112324567[[#This Row],[Av fy/(b S) (Mpa)]]*Table112324567[[#This Row],[d (mm)]]*Table112324567[[#This Row],[b (mm)]]</f>
        <v>187110</v>
      </c>
      <c r="AA12" s="8">
        <f>Table112324567[[#This Row],[d (mm)]]/1350</f>
        <v>1.4</v>
      </c>
      <c r="AB12" s="8">
        <f>Table112324567[[#This Row],[a/d]]*Table112324567[[#This Row],[d]]</f>
        <v>5405.4</v>
      </c>
      <c r="AC12" s="8">
        <f>Table112324567[[#This Row],[d]]</f>
        <v>1890</v>
      </c>
      <c r="AD12" s="8">
        <v>2000</v>
      </c>
      <c r="AE12" s="5">
        <v>300</v>
      </c>
      <c r="AF12" s="15">
        <v>34.5</v>
      </c>
      <c r="AG12" s="8">
        <f>Table112324567[[#This Row],[pho (%)]]/100*Table112324567[[#This Row],[b (mm)]]*Table112324567[[#This Row],[d (mm)]]</f>
        <v>4195.8</v>
      </c>
      <c r="AH12" s="8">
        <v>0.74</v>
      </c>
      <c r="AI12" s="8">
        <v>508</v>
      </c>
      <c r="AJ12" s="8">
        <f>(1/3-0.21*(MIN(Table112324567[[#This Row],[b (mm)]],AD12)/MAX(Table112324567[[#This Row],[b (mm)]],AD12))*(MIN(Table112324567[[#This Row],[b (mm)]],AD12)^4/(12*MAX(Table112324567[[#This Row],[b (mm)]],AD12)^4)))*MAX(Table112324567[[#This Row],[b (mm)]],AD12)*MIN(Table112324567[[#This Row],[b (mm)]],AD12)^3</f>
        <v>17999928239.0625</v>
      </c>
      <c r="AK12" s="8">
        <f>Table112324567[[#This Row],[b (mm)]]*AD12^3/12</f>
        <v>200000000000</v>
      </c>
      <c r="AL12" s="8">
        <f>2*Table112324567[[#This Row],[a (mm)]]</f>
        <v>10810.8</v>
      </c>
      <c r="AM12" s="12"/>
      <c r="AN12" s="6"/>
    </row>
    <row r="13" spans="1:42" x14ac:dyDescent="0.25">
      <c r="A13" s="65" t="s">
        <v>149</v>
      </c>
      <c r="B13" s="65">
        <v>3</v>
      </c>
      <c r="C13" s="3">
        <v>12</v>
      </c>
      <c r="D13" s="64">
        <v>2.86</v>
      </c>
      <c r="E13" s="15">
        <v>375.5</v>
      </c>
      <c r="F13" s="3">
        <v>1890</v>
      </c>
      <c r="G13" s="8">
        <f t="shared" si="4"/>
        <v>2029727.7</v>
      </c>
      <c r="H13" s="8">
        <f t="shared" si="5"/>
        <v>3.8534089434275966E-7</v>
      </c>
      <c r="I13" s="8">
        <f>G13/(Table112324567[[#This Row],[b (mm)]]*AC13^2)</f>
        <v>1.8940564373897708E-3</v>
      </c>
      <c r="J13" s="8">
        <f t="shared" si="6"/>
        <v>0.50384561539417183</v>
      </c>
      <c r="K13" s="8">
        <f t="shared" si="7"/>
        <v>6.6436924454858245E-7</v>
      </c>
      <c r="L13" s="8">
        <f>E13/(Table112324567[[#This Row],[b (mm)]]*AC13)</f>
        <v>6.6225749559082887E-4</v>
      </c>
      <c r="M13" s="8">
        <f>Table112324567[[#This Row],[M (KN.mm)]]/(Table112324567[[#This Row],[b (mm)]]*Table112324567[[#This Row],[d (mm)]])</f>
        <v>3.5797666666666665</v>
      </c>
      <c r="N13" s="8">
        <f>Table112324567[[#This Row],[M (KN.mm)]]/(Table112324567[[#This Row],[b (mm)]]*Table112324567[[#This Row],[h (mm)]])</f>
        <v>3.3828795</v>
      </c>
      <c r="O13" s="8">
        <f>Table112324567[[#This Row],[M (KN.mm)]]/(Table112324567[[#This Row],[b (mm)]]*Table112324567[[#This Row],[h (mm)]]*Table112324567[[#This Row],[L(mm)]])</f>
        <v>3.1291666666666664E-4</v>
      </c>
      <c r="P13" s="8">
        <f>Table112324567[[#This Row],[M (KN.mm)]]/(Table112324567[[#This Row],[b (mm)]]*Table112324567[[#This Row],[d (mm)]]*Table112324567[[#This Row],[L(mm)]])</f>
        <v>3.3112874779541444E-4</v>
      </c>
      <c r="Q13" s="8">
        <f>Table112324567[[#This Row],[M (KN.mm)]]/(Table112324567[[#This Row],[b (mm)]]*Table112324567[[#This Row],[h (mm)]]*Table112324567[[#This Row],[L(mm)]]*Table112324567[[#This Row],[fc (Mpa)]])</f>
        <v>9.0700483091787445E-6</v>
      </c>
      <c r="R13" s="8">
        <f>Table112324567[[#This Row],[M (KN.mm)]]/(Table112324567[[#This Row],[b (mm)]]*Table112324567[[#This Row],[h (mm)]]*Table112324567[[#This Row],[L(mm)]]/2)</f>
        <v>6.2583333333333328E-4</v>
      </c>
      <c r="S13" s="8">
        <f>Table112324567[[#This Row],[M (KN.mm)]]/(Table112324567[[#This Row],[a (mm)]]*Table112324567[[#This Row],[b (mm)]]*Table112324567[[#This Row],[h (mm)]]*Table112324567[[#This Row],[L(mm)]]/2)</f>
        <v>1.1577928244594912E-7</v>
      </c>
      <c r="T13" s="8">
        <f>G13/($AN$5*AK13*0.001*Table112324567[[#This Row],[pho (%)]])</f>
        <v>5.2073093830102656E-7</v>
      </c>
      <c r="U13" s="8">
        <f>Table112324567[[#This Row],[M (KN.mm)]]/(Table112324567[[#This Row],[b (mm)]]*Table112324567[[#This Row],[d (mm)]]*Table112324567[[#This Row],[pho (%)]])</f>
        <v>4.837522522522522</v>
      </c>
      <c r="V13" s="8">
        <f>E13*224.8/(2*SQRT(Table112324567[[#This Row],[fc (Mpa)]]*145.037)*Table112324567[[#This Row],[b (mm)]]*Table112324567[[#This Row],[d (mm)]]*(1/25.4)^2)</f>
        <v>0.67890917099416115</v>
      </c>
      <c r="W13" s="8">
        <f>Table112324567[[#This Row],[M (KN.mm)]]/$G$16</f>
        <v>0.71320037986704665</v>
      </c>
      <c r="X13" s="8">
        <f>E13*224.8/(2*SQRT(Table112324567[[#This Row],[fc (Mpa)]]*145.037)*Table112324567[[#This Row],[b (mm)]]*Table112324567[[#This Row],[d (mm)]]*(1/25.4)^2+Table112324567[[#This Row],[Av fy d/s (N)]]*0.2248)</f>
        <v>0.50729317880982416</v>
      </c>
      <c r="Y13" s="8">
        <v>0.33</v>
      </c>
      <c r="Z13" s="8">
        <f>Table112324567[[#This Row],[Av fy/(b S) (Mpa)]]*Table112324567[[#This Row],[d (mm)]]*Table112324567[[#This Row],[b (mm)]]</f>
        <v>187110</v>
      </c>
      <c r="AA13" s="8">
        <f>Table112324567[[#This Row],[d (mm)]]/1350</f>
        <v>1.4</v>
      </c>
      <c r="AB13" s="8">
        <f>Table112324567[[#This Row],[a/d]]*Table112324567[[#This Row],[d]]</f>
        <v>5405.4</v>
      </c>
      <c r="AC13" s="8">
        <f>Table112324567[[#This Row],[d]]</f>
        <v>1890</v>
      </c>
      <c r="AD13" s="8">
        <v>2000</v>
      </c>
      <c r="AE13" s="5">
        <v>300</v>
      </c>
      <c r="AF13" s="15">
        <v>34.5</v>
      </c>
      <c r="AG13" s="8">
        <f>Table112324567[[#This Row],[pho (%)]]/100*Table112324567[[#This Row],[b (mm)]]*Table112324567[[#This Row],[d (mm)]]</f>
        <v>4195.8</v>
      </c>
      <c r="AH13" s="8">
        <v>0.74</v>
      </c>
      <c r="AI13" s="8">
        <v>508</v>
      </c>
      <c r="AJ13" s="8">
        <f>(1/3-0.21*(MIN(Table112324567[[#This Row],[b (mm)]],AD13)/MAX(Table112324567[[#This Row],[b (mm)]],AD13))*(MIN(Table112324567[[#This Row],[b (mm)]],AD13)^4/(12*MAX(Table112324567[[#This Row],[b (mm)]],AD13)^4)))*MAX(Table112324567[[#This Row],[b (mm)]],AD13)*MIN(Table112324567[[#This Row],[b (mm)]],AD13)^3</f>
        <v>17999928239.0625</v>
      </c>
      <c r="AK13" s="8">
        <f>Table112324567[[#This Row],[b (mm)]]*AD13^3/12</f>
        <v>200000000000</v>
      </c>
      <c r="AL13" s="8">
        <f>2*Table112324567[[#This Row],[a (mm)]]</f>
        <v>10810.8</v>
      </c>
      <c r="AM13" s="12"/>
      <c r="AN13" s="6"/>
    </row>
    <row r="14" spans="1:42" x14ac:dyDescent="0.25">
      <c r="A14" s="65" t="s">
        <v>149</v>
      </c>
      <c r="B14" s="65">
        <v>4</v>
      </c>
      <c r="C14" s="3">
        <v>13</v>
      </c>
      <c r="D14" s="64">
        <v>2.86</v>
      </c>
      <c r="E14" s="15">
        <v>421.5</v>
      </c>
      <c r="F14" s="3">
        <v>1890</v>
      </c>
      <c r="G14" s="8">
        <f t="shared" si="4"/>
        <v>2278376.0999999996</v>
      </c>
      <c r="H14" s="8">
        <f t="shared" si="5"/>
        <v>4.3254643665904974E-7</v>
      </c>
      <c r="I14" s="8">
        <f>G14/(Table112324567[[#This Row],[b (mm)]]*AC14^2)</f>
        <v>2.1260846560846557E-3</v>
      </c>
      <c r="J14" s="8">
        <f t="shared" si="6"/>
        <v>0.56556838052901037</v>
      </c>
      <c r="K14" s="8">
        <f t="shared" si="7"/>
        <v>7.4575668862111182E-7</v>
      </c>
      <c r="L14" s="8">
        <f>E14/(Table112324567[[#This Row],[b (mm)]]*AC14)</f>
        <v>7.4338624338624341E-4</v>
      </c>
      <c r="M14" s="8">
        <f>Table112324567[[#This Row],[M (KN.mm)]]/(Table112324567[[#This Row],[b (mm)]]*Table112324567[[#This Row],[d (mm)]])</f>
        <v>4.0182999999999991</v>
      </c>
      <c r="N14" s="8">
        <f>Table112324567[[#This Row],[M (KN.mm)]]/(Table112324567[[#This Row],[b (mm)]]*Table112324567[[#This Row],[h (mm)]])</f>
        <v>3.7972934999999994</v>
      </c>
      <c r="O14" s="8">
        <f>Table112324567[[#This Row],[M (KN.mm)]]/(Table112324567[[#This Row],[b (mm)]]*Table112324567[[#This Row],[h (mm)]]*Table112324567[[#This Row],[L(mm)]])</f>
        <v>3.5124999999999995E-4</v>
      </c>
      <c r="P14" s="8">
        <f>Table112324567[[#This Row],[M (KN.mm)]]/(Table112324567[[#This Row],[b (mm)]]*Table112324567[[#This Row],[d (mm)]]*Table112324567[[#This Row],[L(mm)]])</f>
        <v>3.7169312169312165E-4</v>
      </c>
      <c r="Q14" s="8">
        <f>Table112324567[[#This Row],[M (KN.mm)]]/(Table112324567[[#This Row],[b (mm)]]*Table112324567[[#This Row],[h (mm)]]*Table112324567[[#This Row],[L(mm)]]*Table112324567[[#This Row],[fc (Mpa)]])</f>
        <v>1.0181159420289854E-5</v>
      </c>
      <c r="R14" s="8">
        <f>Table112324567[[#This Row],[M (KN.mm)]]/(Table112324567[[#This Row],[b (mm)]]*Table112324567[[#This Row],[h (mm)]]*Table112324567[[#This Row],[L(mm)]]/2)</f>
        <v>7.0249999999999989E-4</v>
      </c>
      <c r="S14" s="8">
        <f>Table112324567[[#This Row],[M (KN.mm)]]/(Table112324567[[#This Row],[a (mm)]]*Table112324567[[#This Row],[b (mm)]]*Table112324567[[#This Row],[h (mm)]]*Table112324567[[#This Row],[L(mm)]]/2)</f>
        <v>1.2996262996262996E-7</v>
      </c>
      <c r="T14" s="8">
        <f>G14/($AN$5*AK14*0.001*Table112324567[[#This Row],[pho (%)]])</f>
        <v>5.8452221170141853E-7</v>
      </c>
      <c r="U14" s="8">
        <f>Table112324567[[#This Row],[M (KN.mm)]]/(Table112324567[[#This Row],[b (mm)]]*Table112324567[[#This Row],[d (mm)]]*Table112324567[[#This Row],[pho (%)]])</f>
        <v>5.4301351351351341</v>
      </c>
      <c r="V14" s="8">
        <f>E14*224.8/(2*SQRT(Table112324567[[#This Row],[fc (Mpa)]]*145.037)*Table112324567[[#This Row],[b (mm)]]*Table112324567[[#This Row],[d (mm)]]*(1/25.4)^2)</f>
        <v>0.76207780445815965</v>
      </c>
      <c r="W14" s="8">
        <f>Table112324567[[#This Row],[M (KN.mm)]]/$G$16</f>
        <v>0.80056980056980054</v>
      </c>
      <c r="X14" s="8">
        <f>E14*224.8/(2*SQRT(Table112324567[[#This Row],[fc (Mpa)]]*145.037)*Table112324567[[#This Row],[b (mm)]]*Table112324567[[#This Row],[d (mm)]]*(1/25.4)^2+Table112324567[[#This Row],[Av fy d/s (N)]]*0.2248)</f>
        <v>0.56943828193965618</v>
      </c>
      <c r="Y14" s="8">
        <v>0.33</v>
      </c>
      <c r="Z14" s="8">
        <f>Table112324567[[#This Row],[Av fy/(b S) (Mpa)]]*Table112324567[[#This Row],[d (mm)]]*Table112324567[[#This Row],[b (mm)]]</f>
        <v>187110</v>
      </c>
      <c r="AA14" s="8">
        <f>Table112324567[[#This Row],[d (mm)]]/1350</f>
        <v>1.4</v>
      </c>
      <c r="AB14" s="8">
        <f>Table112324567[[#This Row],[a/d]]*Table112324567[[#This Row],[d]]</f>
        <v>5405.4</v>
      </c>
      <c r="AC14" s="8">
        <f>Table112324567[[#This Row],[d]]</f>
        <v>1890</v>
      </c>
      <c r="AD14" s="8">
        <v>2000</v>
      </c>
      <c r="AE14" s="5">
        <v>300</v>
      </c>
      <c r="AF14" s="15">
        <v>34.5</v>
      </c>
      <c r="AG14" s="8">
        <f>Table112324567[[#This Row],[pho (%)]]/100*Table112324567[[#This Row],[b (mm)]]*Table112324567[[#This Row],[d (mm)]]</f>
        <v>4195.8</v>
      </c>
      <c r="AH14" s="8">
        <v>0.74</v>
      </c>
      <c r="AI14" s="8">
        <v>508</v>
      </c>
      <c r="AJ14" s="8">
        <f>(1/3-0.21*(MIN(Table112324567[[#This Row],[b (mm)]],AD14)/MAX(Table112324567[[#This Row],[b (mm)]],AD14))*(MIN(Table112324567[[#This Row],[b (mm)]],AD14)^4/(12*MAX(Table112324567[[#This Row],[b (mm)]],AD14)^4)))*MAX(Table112324567[[#This Row],[b (mm)]],AD14)*MIN(Table112324567[[#This Row],[b (mm)]],AD14)^3</f>
        <v>17999928239.0625</v>
      </c>
      <c r="AK14" s="8">
        <f>Table112324567[[#This Row],[b (mm)]]*AD14^3/12</f>
        <v>200000000000</v>
      </c>
      <c r="AL14" s="8">
        <f>2*Table112324567[[#This Row],[a (mm)]]</f>
        <v>10810.8</v>
      </c>
      <c r="AM14" s="12"/>
      <c r="AN14" s="6"/>
    </row>
    <row r="15" spans="1:42" x14ac:dyDescent="0.25">
      <c r="A15" s="65" t="s">
        <v>149</v>
      </c>
      <c r="B15" s="65">
        <v>5</v>
      </c>
      <c r="C15" s="15">
        <v>14</v>
      </c>
      <c r="D15" s="64">
        <v>2.86</v>
      </c>
      <c r="E15" s="15">
        <v>481.5</v>
      </c>
      <c r="F15" s="3">
        <v>1890</v>
      </c>
      <c r="G15" s="8">
        <f t="shared" si="4"/>
        <v>2602700.0999999996</v>
      </c>
      <c r="H15" s="8">
        <f t="shared" si="5"/>
        <v>4.9411888315855859E-7</v>
      </c>
      <c r="I15" s="8">
        <f>G15/(Table112324567[[#This Row],[b (mm)]]*AC15^2)</f>
        <v>2.4287301587301584E-3</v>
      </c>
      <c r="J15" s="8">
        <f t="shared" si="6"/>
        <v>0.64607633505271289</v>
      </c>
      <c r="K15" s="8">
        <f t="shared" si="7"/>
        <v>8.5191422436788936E-7</v>
      </c>
      <c r="L15" s="8">
        <f>E15/(Table112324567[[#This Row],[b (mm)]]*AC15)</f>
        <v>8.4920634920634919E-4</v>
      </c>
      <c r="M15" s="8">
        <f>Table112324567[[#This Row],[M (KN.mm)]]/(Table112324567[[#This Row],[b (mm)]]*Table112324567[[#This Row],[d (mm)]])</f>
        <v>4.5902999999999992</v>
      </c>
      <c r="N15" s="8">
        <f>Table112324567[[#This Row],[M (KN.mm)]]/(Table112324567[[#This Row],[b (mm)]]*Table112324567[[#This Row],[h (mm)]])</f>
        <v>4.3378334999999995</v>
      </c>
      <c r="O15" s="8">
        <f>Table112324567[[#This Row],[M (KN.mm)]]/(Table112324567[[#This Row],[b (mm)]]*Table112324567[[#This Row],[h (mm)]]*Table112324567[[#This Row],[L(mm)]])</f>
        <v>4.0124999999999997E-4</v>
      </c>
      <c r="P15" s="8">
        <f>Table112324567[[#This Row],[M (KN.mm)]]/(Table112324567[[#This Row],[b (mm)]]*Table112324567[[#This Row],[d (mm)]]*Table112324567[[#This Row],[L(mm)]])</f>
        <v>4.2460317460317454E-4</v>
      </c>
      <c r="Q15" s="8">
        <f>Table112324567[[#This Row],[M (KN.mm)]]/(Table112324567[[#This Row],[b (mm)]]*Table112324567[[#This Row],[h (mm)]]*Table112324567[[#This Row],[L(mm)]]*Table112324567[[#This Row],[fc (Mpa)]])</f>
        <v>1.1630434782608695E-5</v>
      </c>
      <c r="R15" s="8">
        <f>Table112324567[[#This Row],[M (KN.mm)]]/(Table112324567[[#This Row],[b (mm)]]*Table112324567[[#This Row],[h (mm)]]*Table112324567[[#This Row],[L(mm)]]/2)</f>
        <v>8.0249999999999994E-4</v>
      </c>
      <c r="S15" s="8">
        <f>Table112324567[[#This Row],[M (KN.mm)]]/(Table112324567[[#This Row],[a (mm)]]*Table112324567[[#This Row],[b (mm)]]*Table112324567[[#This Row],[h (mm)]]*Table112324567[[#This Row],[L(mm)]]/2)</f>
        <v>1.4846264846264846E-7</v>
      </c>
      <c r="T15" s="8">
        <f>G15/($AN$5*AK15*0.001*Table112324567[[#This Row],[pho (%)]])</f>
        <v>6.6772822048453859E-7</v>
      </c>
      <c r="U15" s="8">
        <f>Table112324567[[#This Row],[M (KN.mm)]]/(Table112324567[[#This Row],[b (mm)]]*Table112324567[[#This Row],[d (mm)]]*Table112324567[[#This Row],[pho (%)]])</f>
        <v>6.2031081081081076</v>
      </c>
      <c r="V15" s="8">
        <f>E15*224.8/(2*SQRT(Table112324567[[#This Row],[fc (Mpa)]]*145.037)*Table112324567[[#This Row],[b (mm)]]*Table112324567[[#This Row],[d (mm)]]*(1/25.4)^2)</f>
        <v>0.87055863071554884</v>
      </c>
      <c r="W15" s="8">
        <f>Table112324567[[#This Row],[M (KN.mm)]]/$G$16</f>
        <v>0.9145299145299145</v>
      </c>
      <c r="X15" s="8">
        <f>E15*224.8/(2*SQRT(Table112324567[[#This Row],[fc (Mpa)]]*145.037)*Table112324567[[#This Row],[b (mm)]]*Table112324567[[#This Row],[d (mm)]]*(1/25.4)^2+Table112324567[[#This Row],[Av fy d/s (N)]]*0.2248)</f>
        <v>0.6504971121090023</v>
      </c>
      <c r="Y15" s="8">
        <v>0.33</v>
      </c>
      <c r="Z15" s="8">
        <f>Table112324567[[#This Row],[Av fy/(b S) (Mpa)]]*Table112324567[[#This Row],[d (mm)]]*Table112324567[[#This Row],[b (mm)]]</f>
        <v>187110</v>
      </c>
      <c r="AA15" s="8">
        <f>Table112324567[[#This Row],[d (mm)]]/1350</f>
        <v>1.4</v>
      </c>
      <c r="AB15" s="8">
        <f>Table112324567[[#This Row],[a/d]]*Table112324567[[#This Row],[d]]</f>
        <v>5405.4</v>
      </c>
      <c r="AC15" s="8">
        <f>Table112324567[[#This Row],[d]]</f>
        <v>1890</v>
      </c>
      <c r="AD15" s="8">
        <v>2000</v>
      </c>
      <c r="AE15" s="5">
        <v>300</v>
      </c>
      <c r="AF15" s="15">
        <v>34.5</v>
      </c>
      <c r="AG15" s="8">
        <f>Table112324567[[#This Row],[pho (%)]]/100*Table112324567[[#This Row],[b (mm)]]*Table112324567[[#This Row],[d (mm)]]</f>
        <v>4195.8</v>
      </c>
      <c r="AH15" s="8">
        <v>0.74</v>
      </c>
      <c r="AI15" s="8">
        <v>508</v>
      </c>
      <c r="AJ15" s="8">
        <f>(1/3-0.21*(MIN(Table112324567[[#This Row],[b (mm)]],AD15)/MAX(Table112324567[[#This Row],[b (mm)]],AD15))*(MIN(Table112324567[[#This Row],[b (mm)]],AD15)^4/(12*MAX(Table112324567[[#This Row],[b (mm)]],AD15)^4)))*MAX(Table112324567[[#This Row],[b (mm)]],AD15)*MIN(Table112324567[[#This Row],[b (mm)]],AD15)^3</f>
        <v>17999928239.0625</v>
      </c>
      <c r="AK15" s="8">
        <f>Table112324567[[#This Row],[b (mm)]]*AD15^3/12</f>
        <v>200000000000</v>
      </c>
      <c r="AL15" s="8">
        <f>2*Table112324567[[#This Row],[a (mm)]]</f>
        <v>10810.8</v>
      </c>
      <c r="AM15" s="12"/>
      <c r="AN15" s="6"/>
    </row>
    <row r="16" spans="1:42" x14ac:dyDescent="0.25">
      <c r="A16" s="65" t="s">
        <v>149</v>
      </c>
      <c r="B16" s="65">
        <v>6</v>
      </c>
      <c r="C16" s="3">
        <v>15</v>
      </c>
      <c r="D16" s="64">
        <v>2.86</v>
      </c>
      <c r="E16" s="15">
        <v>526.5</v>
      </c>
      <c r="F16" s="3">
        <v>1890</v>
      </c>
      <c r="G16" s="8">
        <f t="shared" si="4"/>
        <v>2845943.0999999996</v>
      </c>
      <c r="H16" s="8">
        <f t="shared" si="5"/>
        <v>5.4029821803319028E-7</v>
      </c>
      <c r="I16" s="8">
        <f>G16/(Table112324567[[#This Row],[b (mm)]]*AC16^2)</f>
        <v>2.6557142857142856E-3</v>
      </c>
      <c r="J16" s="8">
        <f t="shared" si="6"/>
        <v>0.70645730094548975</v>
      </c>
      <c r="K16" s="8">
        <f t="shared" si="7"/>
        <v>9.3153237617797244E-7</v>
      </c>
      <c r="L16" s="8">
        <f>E16/(Table112324567[[#This Row],[b (mm)]]*AC16)</f>
        <v>9.2857142857142856E-4</v>
      </c>
      <c r="M16" s="8">
        <f>Table112324567[[#This Row],[M (KN.mm)]]/(Table112324567[[#This Row],[b (mm)]]*Table112324567[[#This Row],[d (mm)]])</f>
        <v>5.0192999999999994</v>
      </c>
      <c r="N16" s="8">
        <f>Table112324567[[#This Row],[M (KN.mm)]]/(Table112324567[[#This Row],[b (mm)]]*Table112324567[[#This Row],[h (mm)]])</f>
        <v>4.7432384999999995</v>
      </c>
      <c r="O16" s="8">
        <f>Table112324567[[#This Row],[M (KN.mm)]]/(Table112324567[[#This Row],[b (mm)]]*Table112324567[[#This Row],[h (mm)]]*Table112324567[[#This Row],[L(mm)]])</f>
        <v>4.3874999999999996E-4</v>
      </c>
      <c r="P16" s="8">
        <f>Table112324567[[#This Row],[M (KN.mm)]]/(Table112324567[[#This Row],[b (mm)]]*Table112324567[[#This Row],[d (mm)]]*Table112324567[[#This Row],[L(mm)]])</f>
        <v>4.6428571428571423E-4</v>
      </c>
      <c r="Q16" s="8">
        <f>Table112324567[[#This Row],[M (KN.mm)]]/(Table112324567[[#This Row],[b (mm)]]*Table112324567[[#This Row],[h (mm)]]*Table112324567[[#This Row],[L(mm)]]*Table112324567[[#This Row],[fc (Mpa)]])</f>
        <v>1.2717391304347825E-5</v>
      </c>
      <c r="R16" s="8">
        <f>Table112324567[[#This Row],[M (KN.mm)]]/(Table112324567[[#This Row],[b (mm)]]*Table112324567[[#This Row],[h (mm)]]*Table112324567[[#This Row],[L(mm)]]/2)</f>
        <v>8.7749999999999992E-4</v>
      </c>
      <c r="S16" s="8">
        <f>Table112324567[[#This Row],[M (KN.mm)]]/(Table112324567[[#This Row],[a (mm)]]*Table112324567[[#This Row],[b (mm)]]*Table112324567[[#This Row],[h (mm)]]*Table112324567[[#This Row],[L(mm)]]/2)</f>
        <v>1.6233766233766232E-7</v>
      </c>
      <c r="T16" s="8">
        <f>G16/($AN$5*AK16*0.001*Table112324567[[#This Row],[pho (%)]])</f>
        <v>7.3013272707187872E-7</v>
      </c>
      <c r="U16" s="8">
        <f>Table112324567[[#This Row],[M (KN.mm)]]/(Table112324567[[#This Row],[b (mm)]]*Table112324567[[#This Row],[d (mm)]]*Table112324567[[#This Row],[pho (%)]])</f>
        <v>6.7828378378378371</v>
      </c>
      <c r="V16" s="8">
        <f>E16*224.8/(2*SQRT(Table112324567[[#This Row],[fc (Mpa)]]*145.037)*Table112324567[[#This Row],[b (mm)]]*Table112324567[[#This Row],[d (mm)]]*(1/25.4)^2)</f>
        <v>0.95191925040859082</v>
      </c>
      <c r="W16" s="8">
        <f>Table112324567[[#This Row],[M (KN.mm)]]/$G$16</f>
        <v>1</v>
      </c>
      <c r="X16" s="8">
        <f>E16*224.8/(2*SQRT(Table112324567[[#This Row],[fc (Mpa)]]*145.037)*Table112324567[[#This Row],[b (mm)]]*Table112324567[[#This Row],[d (mm)]]*(1/25.4)^2+Table112324567[[#This Row],[Av fy d/s (N)]]*0.2248)</f>
        <v>0.71129123473601186</v>
      </c>
      <c r="Y16" s="8">
        <v>0.33</v>
      </c>
      <c r="Z16" s="8">
        <f>Table112324567[[#This Row],[Av fy/(b S) (Mpa)]]*Table112324567[[#This Row],[d (mm)]]*Table112324567[[#This Row],[b (mm)]]</f>
        <v>187110</v>
      </c>
      <c r="AA16" s="8">
        <f>Table112324567[[#This Row],[d (mm)]]/1350</f>
        <v>1.4</v>
      </c>
      <c r="AB16" s="8">
        <f>Table112324567[[#This Row],[a/d]]*Table112324567[[#This Row],[d]]</f>
        <v>5405.4</v>
      </c>
      <c r="AC16" s="8">
        <f>Table112324567[[#This Row],[d]]</f>
        <v>1890</v>
      </c>
      <c r="AD16" s="8">
        <v>2000</v>
      </c>
      <c r="AE16" s="5">
        <v>300</v>
      </c>
      <c r="AF16" s="15">
        <v>34.5</v>
      </c>
      <c r="AG16" s="8">
        <f>Table112324567[[#This Row],[pho (%)]]/100*Table112324567[[#This Row],[b (mm)]]*Table112324567[[#This Row],[d (mm)]]</f>
        <v>4195.8</v>
      </c>
      <c r="AH16" s="8">
        <v>0.74</v>
      </c>
      <c r="AI16" s="8">
        <v>508</v>
      </c>
      <c r="AJ16" s="8">
        <f>(1/3-0.21*(MIN(Table112324567[[#This Row],[b (mm)]],AD16)/MAX(Table112324567[[#This Row],[b (mm)]],AD16))*(MIN(Table112324567[[#This Row],[b (mm)]],AD16)^4/(12*MAX(Table112324567[[#This Row],[b (mm)]],AD16)^4)))*MAX(Table112324567[[#This Row],[b (mm)]],AD16)*MIN(Table112324567[[#This Row],[b (mm)]],AD16)^3</f>
        <v>17999928239.0625</v>
      </c>
      <c r="AK16" s="8">
        <f>Table112324567[[#This Row],[b (mm)]]*AD16^3/12</f>
        <v>200000000000</v>
      </c>
      <c r="AL16" s="8">
        <f>2*Table112324567[[#This Row],[a (mm)]]</f>
        <v>10810.8</v>
      </c>
      <c r="AM16" s="12"/>
      <c r="AN16" s="6"/>
    </row>
    <row r="17" spans="1:42" x14ac:dyDescent="0.25">
      <c r="A17" s="72" t="s">
        <v>150</v>
      </c>
      <c r="B17" s="72">
        <v>1</v>
      </c>
      <c r="C17" s="3">
        <v>16</v>
      </c>
      <c r="D17" s="64">
        <v>2.86</v>
      </c>
      <c r="E17" s="15">
        <v>117.5</v>
      </c>
      <c r="F17" s="3">
        <v>1890</v>
      </c>
      <c r="G17" s="8">
        <f t="shared" ref="G17:G22" si="8">E17*AB17</f>
        <v>635134.5</v>
      </c>
      <c r="H17" s="8">
        <f t="shared" ref="H17:H22" si="9">G17/($AN$5*AK17*0.001)</f>
        <v>1.2057937439487153E-7</v>
      </c>
      <c r="I17" s="8">
        <f>G17/(Table112324567[[#This Row],[b (mm)]]*AC17^2)</f>
        <v>5.9268077601410936E-4</v>
      </c>
      <c r="J17" s="8">
        <f t="shared" ref="J17:J22" si="10">G17/(AG17*AI17*AC17*0.001)</f>
        <v>0.15766141094225083</v>
      </c>
      <c r="K17" s="8">
        <f t="shared" ref="K17:K22" si="11">E17/($AN$4*AJ17*0.001)</f>
        <v>2.0789184083743926E-7</v>
      </c>
      <c r="L17" s="8">
        <f>E17/(Table112324567[[#This Row],[b (mm)]]*AC17)</f>
        <v>2.072310405643739E-4</v>
      </c>
      <c r="M17" s="8">
        <f>Table112324567[[#This Row],[M (KN.mm)]]/(Table112324567[[#This Row],[b (mm)]]*Table112324567[[#This Row],[d (mm)]])</f>
        <v>1.1201666666666668</v>
      </c>
      <c r="N17" s="8">
        <f>Table112324567[[#This Row],[M (KN.mm)]]/(Table112324567[[#This Row],[b (mm)]]*Table112324567[[#This Row],[h (mm)]])</f>
        <v>1.0585575</v>
      </c>
      <c r="O17" s="8">
        <f>Table112324567[[#This Row],[M (KN.mm)]]/(Table112324567[[#This Row],[b (mm)]]*Table112324567[[#This Row],[h (mm)]]*Table112324567[[#This Row],[L(mm)]])</f>
        <v>9.7916666666666671E-5</v>
      </c>
      <c r="P17" s="8">
        <f>Table112324567[[#This Row],[M (KN.mm)]]/(Table112324567[[#This Row],[b (mm)]]*Table112324567[[#This Row],[d (mm)]]*Table112324567[[#This Row],[L(mm)]])</f>
        <v>1.0361552028218695E-4</v>
      </c>
      <c r="Q17" s="8">
        <f>Table112324567[[#This Row],[M (KN.mm)]]/(Table112324567[[#This Row],[b (mm)]]*Table112324567[[#This Row],[h (mm)]]*Table112324567[[#This Row],[L(mm)]]*Table112324567[[#This Row],[fc (Mpa)]])</f>
        <v>2.7976190476190475E-6</v>
      </c>
      <c r="R17" s="8">
        <f>Table112324567[[#This Row],[M (KN.mm)]]/(Table112324567[[#This Row],[b (mm)]]*Table112324567[[#This Row],[h (mm)]]*Table112324567[[#This Row],[L(mm)]]/2)</f>
        <v>1.9583333333333334E-4</v>
      </c>
      <c r="S17" s="8">
        <f>Table112324567[[#This Row],[M (KN.mm)]]/(Table112324567[[#This Row],[a (mm)]]*Table112324567[[#This Row],[b (mm)]]*Table112324567[[#This Row],[h (mm)]]*Table112324567[[#This Row],[L(mm)]]/2)</f>
        <v>3.6229202895869569E-8</v>
      </c>
      <c r="T17" s="8">
        <f>G17/($AN$5*AK17*0.001*Table112324567[[#This Row],[pho (%)]])</f>
        <v>1.6294510053361019E-7</v>
      </c>
      <c r="U17" s="8">
        <f>Table112324567[[#This Row],[M (KN.mm)]]/(Table112324567[[#This Row],[b (mm)]]*Table112324567[[#This Row],[d (mm)]]*Table112324567[[#This Row],[pho (%)]])</f>
        <v>1.5137387387387387</v>
      </c>
      <c r="V17" s="8">
        <f>E17*224.8/(2*SQRT(Table112324567[[#This Row],[fc (Mpa)]]*145.037)*Table112324567[[#This Row],[b (mm)]]*Table112324567[[#This Row],[d (mm)]]*(1/25.4)^2)</f>
        <v>0.2109187194698309</v>
      </c>
      <c r="W17" s="8">
        <f>Table112324567[[#This Row],[M (KN.mm)]]/$G$22</f>
        <v>0.26198439241917504</v>
      </c>
      <c r="X17" s="8">
        <f>E17*224.8/(2*SQRT(Table112324567[[#This Row],[fc (Mpa)]]*145.037)*Table112324567[[#This Row],[b (mm)]]*Table112324567[[#This Row],[d (mm)]]*(1/25.4)^2+Table112324567[[#This Row],[Av fy d/s (N)]]*0.2248)</f>
        <v>0.15321890694103732</v>
      </c>
      <c r="Y17" s="15">
        <v>0.37</v>
      </c>
      <c r="Z17" s="8">
        <f>Table112324567[[#This Row],[Av fy/(b S) (Mpa)]]*Table112324567[[#This Row],[d (mm)]]*Table112324567[[#This Row],[b (mm)]]</f>
        <v>209790</v>
      </c>
      <c r="AA17" s="8">
        <f>Table112324567[[#This Row],[d (mm)]]/2700</f>
        <v>0.7</v>
      </c>
      <c r="AB17" s="8">
        <f>Table112324567[[#This Row],[a/d]]*Table112324567[[#This Row],[d]]</f>
        <v>5405.4</v>
      </c>
      <c r="AC17" s="8">
        <f>Table112324567[[#This Row],[d]]</f>
        <v>1890</v>
      </c>
      <c r="AD17" s="8">
        <v>2000</v>
      </c>
      <c r="AE17" s="5">
        <v>300</v>
      </c>
      <c r="AF17" s="15">
        <v>35</v>
      </c>
      <c r="AG17" s="8">
        <f>Table112324567[[#This Row],[pho (%)]]/100*Table112324567[[#This Row],[b (mm)]]*Table112324567[[#This Row],[d (mm)]]</f>
        <v>4195.8</v>
      </c>
      <c r="AH17" s="8">
        <v>0.74</v>
      </c>
      <c r="AI17" s="8">
        <v>508</v>
      </c>
      <c r="AJ17" s="8">
        <f>(1/3-0.21*(MIN(Table112324567[[#This Row],[b (mm)]],AD17)/MAX(Table112324567[[#This Row],[b (mm)]],AD17))*(MIN(Table112324567[[#This Row],[b (mm)]],AD17)^4/(12*MAX(Table112324567[[#This Row],[b (mm)]],AD17)^4)))*MAX(Table112324567[[#This Row],[b (mm)]],AD17)*MIN(Table112324567[[#This Row],[b (mm)]],AD17)^3</f>
        <v>17999928239.0625</v>
      </c>
      <c r="AK17" s="8">
        <f>Table112324567[[#This Row],[b (mm)]]*AD17^3/12</f>
        <v>200000000000</v>
      </c>
      <c r="AL17" s="8">
        <f>2*Table112324567[[#This Row],[a (mm)]]</f>
        <v>10810.8</v>
      </c>
      <c r="AM17" s="12"/>
      <c r="AN17" s="6"/>
    </row>
    <row r="18" spans="1:42" s="10" customFormat="1" x14ac:dyDescent="0.25">
      <c r="A18" s="72" t="s">
        <v>150</v>
      </c>
      <c r="B18" s="72">
        <v>2</v>
      </c>
      <c r="C18" s="15">
        <v>17</v>
      </c>
      <c r="D18" s="64">
        <v>2.86</v>
      </c>
      <c r="E18" s="15">
        <v>175</v>
      </c>
      <c r="F18" s="3">
        <v>1890</v>
      </c>
      <c r="G18" s="8">
        <f t="shared" si="8"/>
        <v>945944.99999999988</v>
      </c>
      <c r="H18" s="8">
        <f t="shared" si="9"/>
        <v>1.7958630229023419E-7</v>
      </c>
      <c r="I18" s="8">
        <f>G18/(Table112324567[[#This Row],[b (mm)]]*AC18^2)</f>
        <v>8.8271604938271598E-4</v>
      </c>
      <c r="J18" s="8">
        <f t="shared" si="10"/>
        <v>0.23481486736079907</v>
      </c>
      <c r="K18" s="8">
        <f t="shared" si="11"/>
        <v>3.0962614592810103E-7</v>
      </c>
      <c r="L18" s="8">
        <f>E18/(Table112324567[[#This Row],[b (mm)]]*AC18)</f>
        <v>3.0864197530864197E-4</v>
      </c>
      <c r="M18" s="8">
        <f>Table112324567[[#This Row],[M (KN.mm)]]/(Table112324567[[#This Row],[b (mm)]]*Table112324567[[#This Row],[d (mm)]])</f>
        <v>1.6683333333333332</v>
      </c>
      <c r="N18" s="8">
        <f>Table112324567[[#This Row],[M (KN.mm)]]/(Table112324567[[#This Row],[b (mm)]]*Table112324567[[#This Row],[h (mm)]])</f>
        <v>1.5765749999999998</v>
      </c>
      <c r="O18" s="8">
        <f>Table112324567[[#This Row],[M (KN.mm)]]/(Table112324567[[#This Row],[b (mm)]]*Table112324567[[#This Row],[h (mm)]]*Table112324567[[#This Row],[L(mm)]])</f>
        <v>1.4583333333333332E-4</v>
      </c>
      <c r="P18" s="8">
        <f>Table112324567[[#This Row],[M (KN.mm)]]/(Table112324567[[#This Row],[b (mm)]]*Table112324567[[#This Row],[d (mm)]]*Table112324567[[#This Row],[L(mm)]])</f>
        <v>1.5432098765432096E-4</v>
      </c>
      <c r="Q18" s="8">
        <f>Table112324567[[#This Row],[M (KN.mm)]]/(Table112324567[[#This Row],[b (mm)]]*Table112324567[[#This Row],[h (mm)]]*Table112324567[[#This Row],[L(mm)]]*Table112324567[[#This Row],[fc (Mpa)]])</f>
        <v>4.166666666666666E-6</v>
      </c>
      <c r="R18" s="8">
        <f>Table112324567[[#This Row],[M (KN.mm)]]/(Table112324567[[#This Row],[b (mm)]]*Table112324567[[#This Row],[h (mm)]]*Table112324567[[#This Row],[L(mm)]]/2)</f>
        <v>2.9166666666666664E-4</v>
      </c>
      <c r="S18" s="8">
        <f>Table112324567[[#This Row],[M (KN.mm)]]/(Table112324567[[#This Row],[a (mm)]]*Table112324567[[#This Row],[b (mm)]]*Table112324567[[#This Row],[h (mm)]]*Table112324567[[#This Row],[L(mm)]]/2)</f>
        <v>5.3958387291720622E-8</v>
      </c>
      <c r="T18" s="8">
        <f>G18/($AN$5*AK18*0.001*Table112324567[[#This Row],[pho (%)]])</f>
        <v>2.4268419228410021E-7</v>
      </c>
      <c r="U18" s="8">
        <f>Table112324567[[#This Row],[M (KN.mm)]]/(Table112324567[[#This Row],[b (mm)]]*Table112324567[[#This Row],[d (mm)]]*Table112324567[[#This Row],[pho (%)]])</f>
        <v>2.2545045045045042</v>
      </c>
      <c r="V18" s="8">
        <f>E18*224.8/(2*SQRT(Table112324567[[#This Row],[fc (Mpa)]]*145.037)*Table112324567[[#This Row],[b (mm)]]*Table112324567[[#This Row],[d (mm)]]*(1/25.4)^2)</f>
        <v>0.31413426304017367</v>
      </c>
      <c r="W18" s="8">
        <f>Table112324567[[#This Row],[M (KN.mm)]]/$G$22</f>
        <v>0.39018952062430318</v>
      </c>
      <c r="X18" s="8">
        <f>E18*224.8/(2*SQRT(Table112324567[[#This Row],[fc (Mpa)]]*145.037)*Table112324567[[#This Row],[b (mm)]]*Table112324567[[#This Row],[d (mm)]]*(1/25.4)^2+Table112324567[[#This Row],[Av fy d/s (N)]]*0.2248)</f>
        <v>0.22819837203984281</v>
      </c>
      <c r="Y18" s="15">
        <v>0.37</v>
      </c>
      <c r="Z18" s="8">
        <f>Table112324567[[#This Row],[Av fy/(b S) (Mpa)]]*Table112324567[[#This Row],[d (mm)]]*Table112324567[[#This Row],[b (mm)]]</f>
        <v>209790</v>
      </c>
      <c r="AA18" s="8">
        <f>Table112324567[[#This Row],[d (mm)]]/2700</f>
        <v>0.7</v>
      </c>
      <c r="AB18" s="8">
        <f>Table112324567[[#This Row],[a/d]]*Table112324567[[#This Row],[d]]</f>
        <v>5405.4</v>
      </c>
      <c r="AC18" s="8">
        <f>Table112324567[[#This Row],[d]]</f>
        <v>1890</v>
      </c>
      <c r="AD18" s="8">
        <v>2000</v>
      </c>
      <c r="AE18" s="5">
        <v>300</v>
      </c>
      <c r="AF18" s="15">
        <v>35</v>
      </c>
      <c r="AG18" s="8">
        <f>Table112324567[[#This Row],[pho (%)]]/100*Table112324567[[#This Row],[b (mm)]]*Table112324567[[#This Row],[d (mm)]]</f>
        <v>4195.8</v>
      </c>
      <c r="AH18" s="8">
        <v>0.74</v>
      </c>
      <c r="AI18" s="8">
        <v>508</v>
      </c>
      <c r="AJ18" s="8">
        <f>(1/3-0.21*(MIN(Table112324567[[#This Row],[b (mm)]],AD18)/MAX(Table112324567[[#This Row],[b (mm)]],AD18))*(MIN(Table112324567[[#This Row],[b (mm)]],AD18)^4/(12*MAX(Table112324567[[#This Row],[b (mm)]],AD18)^4)))*MAX(Table112324567[[#This Row],[b (mm)]],AD18)*MIN(Table112324567[[#This Row],[b (mm)]],AD18)^3</f>
        <v>17999928239.0625</v>
      </c>
      <c r="AK18" s="8">
        <f>Table112324567[[#This Row],[b (mm)]]*AD18^3/12</f>
        <v>200000000000</v>
      </c>
      <c r="AL18" s="8">
        <f>2*Table112324567[[#This Row],[a (mm)]]</f>
        <v>10810.8</v>
      </c>
      <c r="AM18" s="12"/>
      <c r="AN18" s="9"/>
      <c r="AO18" s="12"/>
      <c r="AP18" s="1"/>
    </row>
    <row r="19" spans="1:42" s="10" customFormat="1" x14ac:dyDescent="0.25">
      <c r="A19" s="72" t="s">
        <v>150</v>
      </c>
      <c r="B19" s="72">
        <v>3</v>
      </c>
      <c r="C19" s="3">
        <v>18</v>
      </c>
      <c r="D19" s="64">
        <v>2.86</v>
      </c>
      <c r="E19" s="15">
        <v>230.5</v>
      </c>
      <c r="F19" s="3">
        <v>1890</v>
      </c>
      <c r="G19" s="8">
        <f t="shared" si="8"/>
        <v>1245944.7</v>
      </c>
      <c r="H19" s="8">
        <f t="shared" si="9"/>
        <v>2.365408153022799E-7</v>
      </c>
      <c r="I19" s="8">
        <f>G19/(Table112324567[[#This Row],[b (mm)]]*AC19^2)</f>
        <v>1.1626631393298059E-3</v>
      </c>
      <c r="J19" s="8">
        <f t="shared" si="10"/>
        <v>0.30928472529522394</v>
      </c>
      <c r="K19" s="8">
        <f t="shared" si="11"/>
        <v>4.0782186649387018E-7</v>
      </c>
      <c r="L19" s="8">
        <f>E19/(Table112324567[[#This Row],[b (mm)]]*AC19)</f>
        <v>4.0652557319223985E-4</v>
      </c>
      <c r="M19" s="8">
        <f>Table112324567[[#This Row],[M (KN.mm)]]/(Table112324567[[#This Row],[b (mm)]]*Table112324567[[#This Row],[d (mm)]])</f>
        <v>2.1974333333333331</v>
      </c>
      <c r="N19" s="8">
        <f>Table112324567[[#This Row],[M (KN.mm)]]/(Table112324567[[#This Row],[b (mm)]]*Table112324567[[#This Row],[h (mm)]])</f>
        <v>2.0765745</v>
      </c>
      <c r="O19" s="8">
        <f>Table112324567[[#This Row],[M (KN.mm)]]/(Table112324567[[#This Row],[b (mm)]]*Table112324567[[#This Row],[h (mm)]]*Table112324567[[#This Row],[L(mm)]])</f>
        <v>1.9208333333333333E-4</v>
      </c>
      <c r="P19" s="8">
        <f>Table112324567[[#This Row],[M (KN.mm)]]/(Table112324567[[#This Row],[b (mm)]]*Table112324567[[#This Row],[d (mm)]]*Table112324567[[#This Row],[L(mm)]])</f>
        <v>2.0326278659611992E-4</v>
      </c>
      <c r="Q19" s="8">
        <f>Table112324567[[#This Row],[M (KN.mm)]]/(Table112324567[[#This Row],[b (mm)]]*Table112324567[[#This Row],[h (mm)]]*Table112324567[[#This Row],[L(mm)]]*Table112324567[[#This Row],[fc (Mpa)]])</f>
        <v>5.4880952380952377E-6</v>
      </c>
      <c r="R19" s="8">
        <f>Table112324567[[#This Row],[M (KN.mm)]]/(Table112324567[[#This Row],[b (mm)]]*Table112324567[[#This Row],[h (mm)]]*Table112324567[[#This Row],[L(mm)]]/2)</f>
        <v>3.8416666666666666E-4</v>
      </c>
      <c r="S19" s="8">
        <f>Table112324567[[#This Row],[M (KN.mm)]]/(Table112324567[[#This Row],[a (mm)]]*Table112324567[[#This Row],[b (mm)]]*Table112324567[[#This Row],[h (mm)]]*Table112324567[[#This Row],[L(mm)]]/2)</f>
        <v>7.1070904404237737E-8</v>
      </c>
      <c r="T19" s="8">
        <f>G19/($AN$5*AK19*0.001*Table112324567[[#This Row],[pho (%)]])</f>
        <v>3.1964975040848632E-7</v>
      </c>
      <c r="U19" s="8">
        <f>Table112324567[[#This Row],[M (KN.mm)]]/(Table112324567[[#This Row],[b (mm)]]*Table112324567[[#This Row],[d (mm)]]*Table112324567[[#This Row],[pho (%)]])</f>
        <v>2.9695045045045045</v>
      </c>
      <c r="V19" s="8">
        <f>E19*224.8/(2*SQRT(Table112324567[[#This Row],[fc (Mpa)]]*145.037)*Table112324567[[#This Row],[b (mm)]]*Table112324567[[#This Row],[d (mm)]]*(1/25.4)^2)</f>
        <v>0.4137597007472002</v>
      </c>
      <c r="W19" s="8">
        <f>Table112324567[[#This Row],[M (KN.mm)]]/$G$22</f>
        <v>0.51393534002229657</v>
      </c>
      <c r="X19" s="8">
        <f>E19*224.8/(2*SQRT(Table112324567[[#This Row],[fc (Mpa)]]*145.037)*Table112324567[[#This Row],[b (mm)]]*Table112324567[[#This Row],[d (mm)]]*(1/25.4)^2+Table112324567[[#This Row],[Av fy d/s (N)]]*0.2248)</f>
        <v>0.30056985574390727</v>
      </c>
      <c r="Y19" s="15">
        <v>0.37</v>
      </c>
      <c r="Z19" s="8">
        <f>Table112324567[[#This Row],[Av fy/(b S) (Mpa)]]*Table112324567[[#This Row],[d (mm)]]*Table112324567[[#This Row],[b (mm)]]</f>
        <v>209790</v>
      </c>
      <c r="AA19" s="8">
        <f>Table112324567[[#This Row],[d (mm)]]/2700</f>
        <v>0.7</v>
      </c>
      <c r="AB19" s="8">
        <f>Table112324567[[#This Row],[a/d]]*Table112324567[[#This Row],[d]]</f>
        <v>5405.4</v>
      </c>
      <c r="AC19" s="8">
        <f>Table112324567[[#This Row],[d]]</f>
        <v>1890</v>
      </c>
      <c r="AD19" s="8">
        <v>2000</v>
      </c>
      <c r="AE19" s="5">
        <v>300</v>
      </c>
      <c r="AF19" s="15">
        <v>35</v>
      </c>
      <c r="AG19" s="8">
        <f>Table112324567[[#This Row],[pho (%)]]/100*Table112324567[[#This Row],[b (mm)]]*Table112324567[[#This Row],[d (mm)]]</f>
        <v>4195.8</v>
      </c>
      <c r="AH19" s="8">
        <v>0.74</v>
      </c>
      <c r="AI19" s="8">
        <v>508</v>
      </c>
      <c r="AJ19" s="8">
        <f>(1/3-0.21*(MIN(Table112324567[[#This Row],[b (mm)]],AD19)/MAX(Table112324567[[#This Row],[b (mm)]],AD19))*(MIN(Table112324567[[#This Row],[b (mm)]],AD19)^4/(12*MAX(Table112324567[[#This Row],[b (mm)]],AD19)^4)))*MAX(Table112324567[[#This Row],[b (mm)]],AD19)*MIN(Table112324567[[#This Row],[b (mm)]],AD19)^3</f>
        <v>17999928239.0625</v>
      </c>
      <c r="AK19" s="8">
        <f>Table112324567[[#This Row],[b (mm)]]*AD19^3/12</f>
        <v>200000000000</v>
      </c>
      <c r="AL19" s="8">
        <f>2*Table112324567[[#This Row],[a (mm)]]</f>
        <v>10810.8</v>
      </c>
      <c r="AM19" s="12"/>
      <c r="AN19" s="9"/>
      <c r="AO19" s="12"/>
      <c r="AP19" s="1"/>
    </row>
    <row r="20" spans="1:42" s="10" customFormat="1" x14ac:dyDescent="0.25">
      <c r="A20" s="72" t="s">
        <v>150</v>
      </c>
      <c r="B20" s="72">
        <v>4</v>
      </c>
      <c r="C20" s="3">
        <v>19</v>
      </c>
      <c r="D20" s="64">
        <v>2.86</v>
      </c>
      <c r="E20" s="15">
        <v>284</v>
      </c>
      <c r="F20" s="3">
        <v>1890</v>
      </c>
      <c r="G20" s="8">
        <f t="shared" si="8"/>
        <v>1535133.5999999999</v>
      </c>
      <c r="H20" s="8">
        <f t="shared" si="9"/>
        <v>2.9144291343100864E-7</v>
      </c>
      <c r="I20" s="8">
        <f>G20/(Table112324567[[#This Row],[b (mm)]]*AC20^2)</f>
        <v>1.432522045855379E-3</v>
      </c>
      <c r="J20" s="8">
        <f t="shared" si="10"/>
        <v>0.38107098474552537</v>
      </c>
      <c r="K20" s="8">
        <f t="shared" si="11"/>
        <v>5.0247900253474674E-7</v>
      </c>
      <c r="L20" s="8">
        <f>E20/(Table112324567[[#This Row],[b (mm)]]*AC20)</f>
        <v>5.0088183421516754E-4</v>
      </c>
      <c r="M20" s="8">
        <f>Table112324567[[#This Row],[M (KN.mm)]]/(Table112324567[[#This Row],[b (mm)]]*Table112324567[[#This Row],[d (mm)]])</f>
        <v>2.7074666666666665</v>
      </c>
      <c r="N20" s="8">
        <f>Table112324567[[#This Row],[M (KN.mm)]]/(Table112324567[[#This Row],[b (mm)]]*Table112324567[[#This Row],[h (mm)]])</f>
        <v>2.5585559999999998</v>
      </c>
      <c r="O20" s="8">
        <f>Table112324567[[#This Row],[M (KN.mm)]]/(Table112324567[[#This Row],[b (mm)]]*Table112324567[[#This Row],[h (mm)]]*Table112324567[[#This Row],[L(mm)]])</f>
        <v>2.3666666666666665E-4</v>
      </c>
      <c r="P20" s="8">
        <f>Table112324567[[#This Row],[M (KN.mm)]]/(Table112324567[[#This Row],[b (mm)]]*Table112324567[[#This Row],[d (mm)]]*Table112324567[[#This Row],[L(mm)]])</f>
        <v>2.5044091710758377E-4</v>
      </c>
      <c r="Q20" s="8">
        <f>Table112324567[[#This Row],[M (KN.mm)]]/(Table112324567[[#This Row],[b (mm)]]*Table112324567[[#This Row],[h (mm)]]*Table112324567[[#This Row],[L(mm)]]*Table112324567[[#This Row],[fc (Mpa)]])</f>
        <v>6.761904761904761E-6</v>
      </c>
      <c r="R20" s="8">
        <f>Table112324567[[#This Row],[M (KN.mm)]]/(Table112324567[[#This Row],[b (mm)]]*Table112324567[[#This Row],[h (mm)]]*Table112324567[[#This Row],[L(mm)]]/2)</f>
        <v>4.7333333333333331E-4</v>
      </c>
      <c r="S20" s="8">
        <f>Table112324567[[#This Row],[M (KN.mm)]]/(Table112324567[[#This Row],[a (mm)]]*Table112324567[[#This Row],[b (mm)]]*Table112324567[[#This Row],[h (mm)]]*Table112324567[[#This Row],[L(mm)]]/2)</f>
        <v>8.7566754233420906E-8</v>
      </c>
      <c r="T20" s="8">
        <f>G20/($AN$5*AK20*0.001*Table112324567[[#This Row],[pho (%)]])</f>
        <v>3.9384177490676837E-7</v>
      </c>
      <c r="U20" s="8">
        <f>Table112324567[[#This Row],[M (KN.mm)]]/(Table112324567[[#This Row],[b (mm)]]*Table112324567[[#This Row],[d (mm)]]*Table112324567[[#This Row],[pho (%)]])</f>
        <v>3.6587387387387382</v>
      </c>
      <c r="V20" s="8">
        <f>E20*224.8/(2*SQRT(Table112324567[[#This Row],[fc (Mpa)]]*145.037)*Table112324567[[#This Row],[b (mm)]]*Table112324567[[#This Row],[d (mm)]]*(1/25.4)^2)</f>
        <v>0.50979503259091041</v>
      </c>
      <c r="W20" s="8">
        <f>Table112324567[[#This Row],[M (KN.mm)]]/$G$22</f>
        <v>0.63322185061315495</v>
      </c>
      <c r="X20" s="8">
        <f>E20*224.8/(2*SQRT(Table112324567[[#This Row],[fc (Mpa)]]*145.037)*Table112324567[[#This Row],[b (mm)]]*Table112324567[[#This Row],[d (mm)]]*(1/25.4)^2+Table112324567[[#This Row],[Av fy d/s (N)]]*0.2248)</f>
        <v>0.37033335805323064</v>
      </c>
      <c r="Y20" s="15">
        <v>0.37</v>
      </c>
      <c r="Z20" s="8">
        <f>Table112324567[[#This Row],[Av fy/(b S) (Mpa)]]*Table112324567[[#This Row],[d (mm)]]*Table112324567[[#This Row],[b (mm)]]</f>
        <v>209790</v>
      </c>
      <c r="AA20" s="8">
        <f>Table112324567[[#This Row],[d (mm)]]/2700</f>
        <v>0.7</v>
      </c>
      <c r="AB20" s="8">
        <f>Table112324567[[#This Row],[a/d]]*Table112324567[[#This Row],[d]]</f>
        <v>5405.4</v>
      </c>
      <c r="AC20" s="8">
        <f>Table112324567[[#This Row],[d]]</f>
        <v>1890</v>
      </c>
      <c r="AD20" s="8">
        <v>2000</v>
      </c>
      <c r="AE20" s="5">
        <v>300</v>
      </c>
      <c r="AF20" s="15">
        <v>35</v>
      </c>
      <c r="AG20" s="8">
        <f>Table112324567[[#This Row],[pho (%)]]/100*Table112324567[[#This Row],[b (mm)]]*Table112324567[[#This Row],[d (mm)]]</f>
        <v>4195.8</v>
      </c>
      <c r="AH20" s="8">
        <v>0.74</v>
      </c>
      <c r="AI20" s="8">
        <v>508</v>
      </c>
      <c r="AJ20" s="8">
        <f>(1/3-0.21*(MIN(Table112324567[[#This Row],[b (mm)]],AD20)/MAX(Table112324567[[#This Row],[b (mm)]],AD20))*(MIN(Table112324567[[#This Row],[b (mm)]],AD20)^4/(12*MAX(Table112324567[[#This Row],[b (mm)]],AD20)^4)))*MAX(Table112324567[[#This Row],[b (mm)]],AD20)*MIN(Table112324567[[#This Row],[b (mm)]],AD20)^3</f>
        <v>17999928239.0625</v>
      </c>
      <c r="AK20" s="8">
        <f>Table112324567[[#This Row],[b (mm)]]*AD20^3/12</f>
        <v>200000000000</v>
      </c>
      <c r="AL20" s="8">
        <f>2*Table112324567[[#This Row],[a (mm)]]</f>
        <v>10810.8</v>
      </c>
      <c r="AM20" s="12"/>
      <c r="AN20" s="9"/>
      <c r="AO20" s="12"/>
      <c r="AP20" s="1"/>
    </row>
    <row r="21" spans="1:42" s="10" customFormat="1" x14ac:dyDescent="0.25">
      <c r="A21" s="72" t="s">
        <v>150</v>
      </c>
      <c r="B21" s="72">
        <v>5</v>
      </c>
      <c r="C21" s="15">
        <v>20</v>
      </c>
      <c r="D21" s="64">
        <v>2.86</v>
      </c>
      <c r="E21" s="15">
        <v>375</v>
      </c>
      <c r="F21" s="3">
        <v>1890</v>
      </c>
      <c r="G21" s="8">
        <f t="shared" si="8"/>
        <v>2027024.9999999998</v>
      </c>
      <c r="H21" s="8">
        <f t="shared" si="9"/>
        <v>3.8482779062193036E-7</v>
      </c>
      <c r="I21" s="8">
        <f>G21/(Table112324567[[#This Row],[b (mm)]]*AC21^2)</f>
        <v>1.8915343915343913E-3</v>
      </c>
      <c r="J21" s="8">
        <f t="shared" si="10"/>
        <v>0.50317471577314088</v>
      </c>
      <c r="K21" s="8">
        <f t="shared" si="11"/>
        <v>6.634845984173593E-7</v>
      </c>
      <c r="L21" s="8">
        <f>E21/(Table112324567[[#This Row],[b (mm)]]*AC21)</f>
        <v>6.6137566137566134E-4</v>
      </c>
      <c r="M21" s="8">
        <f>Table112324567[[#This Row],[M (KN.mm)]]/(Table112324567[[#This Row],[b (mm)]]*Table112324567[[#This Row],[d (mm)]])</f>
        <v>3.5749999999999997</v>
      </c>
      <c r="N21" s="8">
        <f>Table112324567[[#This Row],[M (KN.mm)]]/(Table112324567[[#This Row],[b (mm)]]*Table112324567[[#This Row],[h (mm)]])</f>
        <v>3.3783749999999997</v>
      </c>
      <c r="O21" s="8">
        <f>Table112324567[[#This Row],[M (KN.mm)]]/(Table112324567[[#This Row],[b (mm)]]*Table112324567[[#This Row],[h (mm)]]*Table112324567[[#This Row],[L(mm)]])</f>
        <v>3.1249999999999995E-4</v>
      </c>
      <c r="P21" s="8">
        <f>Table112324567[[#This Row],[M (KN.mm)]]/(Table112324567[[#This Row],[b (mm)]]*Table112324567[[#This Row],[d (mm)]]*Table112324567[[#This Row],[L(mm)]])</f>
        <v>3.3068783068783067E-4</v>
      </c>
      <c r="Q21" s="8">
        <f>Table112324567[[#This Row],[M (KN.mm)]]/(Table112324567[[#This Row],[b (mm)]]*Table112324567[[#This Row],[h (mm)]]*Table112324567[[#This Row],[L(mm)]]*Table112324567[[#This Row],[fc (Mpa)]])</f>
        <v>8.9285714285714275E-6</v>
      </c>
      <c r="R21" s="8">
        <f>Table112324567[[#This Row],[M (KN.mm)]]/(Table112324567[[#This Row],[b (mm)]]*Table112324567[[#This Row],[h (mm)]]*Table112324567[[#This Row],[L(mm)]]/2)</f>
        <v>6.249999999999999E-4</v>
      </c>
      <c r="S21" s="8">
        <f>Table112324567[[#This Row],[M (KN.mm)]]/(Table112324567[[#This Row],[a (mm)]]*Table112324567[[#This Row],[b (mm)]]*Table112324567[[#This Row],[h (mm)]]*Table112324567[[#This Row],[L(mm)]]/2)</f>
        <v>1.1562511562511562E-7</v>
      </c>
      <c r="T21" s="8">
        <f>G21/($AN$5*AK21*0.001*Table112324567[[#This Row],[pho (%)]])</f>
        <v>5.2003755489450053E-7</v>
      </c>
      <c r="U21" s="8">
        <f>Table112324567[[#This Row],[M (KN.mm)]]/(Table112324567[[#This Row],[b (mm)]]*Table112324567[[#This Row],[d (mm)]]*Table112324567[[#This Row],[pho (%)]])</f>
        <v>4.8310810810810807</v>
      </c>
      <c r="V21" s="8">
        <f>E21*224.8/(2*SQRT(Table112324567[[#This Row],[fc (Mpa)]]*145.037)*Table112324567[[#This Row],[b (mm)]]*Table112324567[[#This Row],[d (mm)]]*(1/25.4)^2)</f>
        <v>0.67314484937180075</v>
      </c>
      <c r="W21" s="8">
        <f>Table112324567[[#This Row],[M (KN.mm)]]/$G$22</f>
        <v>0.83612040133779253</v>
      </c>
      <c r="X21" s="8">
        <f>E21*224.8/(2*SQRT(Table112324567[[#This Row],[fc (Mpa)]]*145.037)*Table112324567[[#This Row],[b (mm)]]*Table112324567[[#This Row],[d (mm)]]*(1/25.4)^2+Table112324567[[#This Row],[Av fy d/s (N)]]*0.2248)</f>
        <v>0.48899651151394891</v>
      </c>
      <c r="Y21" s="15">
        <v>0.37</v>
      </c>
      <c r="Z21" s="8">
        <f>Table112324567[[#This Row],[Av fy/(b S) (Mpa)]]*Table112324567[[#This Row],[d (mm)]]*Table112324567[[#This Row],[b (mm)]]</f>
        <v>209790</v>
      </c>
      <c r="AA21" s="8">
        <f>Table112324567[[#This Row],[d (mm)]]/2700</f>
        <v>0.7</v>
      </c>
      <c r="AB21" s="8">
        <f>Table112324567[[#This Row],[a/d]]*Table112324567[[#This Row],[d]]</f>
        <v>5405.4</v>
      </c>
      <c r="AC21" s="8">
        <f>Table112324567[[#This Row],[d]]</f>
        <v>1890</v>
      </c>
      <c r="AD21" s="8">
        <v>2000</v>
      </c>
      <c r="AE21" s="5">
        <v>300</v>
      </c>
      <c r="AF21" s="15">
        <v>35</v>
      </c>
      <c r="AG21" s="8">
        <f>Table112324567[[#This Row],[pho (%)]]/100*Table112324567[[#This Row],[b (mm)]]*Table112324567[[#This Row],[d (mm)]]</f>
        <v>4195.8</v>
      </c>
      <c r="AH21" s="8">
        <v>0.74</v>
      </c>
      <c r="AI21" s="8">
        <v>508</v>
      </c>
      <c r="AJ21" s="8">
        <f>(1/3-0.21*(MIN(Table112324567[[#This Row],[b (mm)]],AD21)/MAX(Table112324567[[#This Row],[b (mm)]],AD21))*(MIN(Table112324567[[#This Row],[b (mm)]],AD21)^4/(12*MAX(Table112324567[[#This Row],[b (mm)]],AD21)^4)))*MAX(Table112324567[[#This Row],[b (mm)]],AD21)*MIN(Table112324567[[#This Row],[b (mm)]],AD21)^3</f>
        <v>17999928239.0625</v>
      </c>
      <c r="AK21" s="8">
        <f>Table112324567[[#This Row],[b (mm)]]*AD21^3/12</f>
        <v>200000000000</v>
      </c>
      <c r="AL21" s="8">
        <f>2*Table112324567[[#This Row],[a (mm)]]</f>
        <v>10810.8</v>
      </c>
      <c r="AM21" s="12"/>
      <c r="AN21" s="9"/>
      <c r="AO21" s="12"/>
      <c r="AP21" s="1"/>
    </row>
    <row r="22" spans="1:42" s="10" customFormat="1" x14ac:dyDescent="0.25">
      <c r="A22" s="72" t="s">
        <v>150</v>
      </c>
      <c r="B22" s="72">
        <v>6</v>
      </c>
      <c r="C22" s="3">
        <v>21</v>
      </c>
      <c r="D22" s="64">
        <v>2.86</v>
      </c>
      <c r="E22" s="15">
        <v>448.5</v>
      </c>
      <c r="F22" s="3">
        <v>1890</v>
      </c>
      <c r="G22" s="8">
        <f t="shared" si="8"/>
        <v>2424321.9</v>
      </c>
      <c r="H22" s="8">
        <f t="shared" si="9"/>
        <v>4.6025403758382878E-7</v>
      </c>
      <c r="I22" s="8">
        <f>G22/(Table112324567[[#This Row],[b (mm)]]*AC22^2)</f>
        <v>2.262275132275132E-3</v>
      </c>
      <c r="J22" s="8">
        <f t="shared" si="10"/>
        <v>0.60179696006467653</v>
      </c>
      <c r="K22" s="8">
        <f t="shared" si="11"/>
        <v>7.9352757970716175E-7</v>
      </c>
      <c r="L22" s="8">
        <f>E22/(Table112324567[[#This Row],[b (mm)]]*AC22)</f>
        <v>7.9100529100529105E-4</v>
      </c>
      <c r="M22" s="8">
        <f>Table112324567[[#This Row],[M (KN.mm)]]/(Table112324567[[#This Row],[b (mm)]]*Table112324567[[#This Row],[d (mm)]])</f>
        <v>4.2756999999999996</v>
      </c>
      <c r="N22" s="8">
        <f>Table112324567[[#This Row],[M (KN.mm)]]/(Table112324567[[#This Row],[b (mm)]]*Table112324567[[#This Row],[h (mm)]])</f>
        <v>4.0405365</v>
      </c>
      <c r="O22" s="8">
        <f>Table112324567[[#This Row],[M (KN.mm)]]/(Table112324567[[#This Row],[b (mm)]]*Table112324567[[#This Row],[h (mm)]]*Table112324567[[#This Row],[L(mm)]])</f>
        <v>3.7375E-4</v>
      </c>
      <c r="P22" s="8">
        <f>Table112324567[[#This Row],[M (KN.mm)]]/(Table112324567[[#This Row],[b (mm)]]*Table112324567[[#This Row],[d (mm)]]*Table112324567[[#This Row],[L(mm)]])</f>
        <v>3.9550264550264547E-4</v>
      </c>
      <c r="Q22" s="8">
        <f>Table112324567[[#This Row],[M (KN.mm)]]/(Table112324567[[#This Row],[b (mm)]]*Table112324567[[#This Row],[h (mm)]]*Table112324567[[#This Row],[L(mm)]]*Table112324567[[#This Row],[fc (Mpa)]])</f>
        <v>1.0678571428571428E-5</v>
      </c>
      <c r="R22" s="8">
        <f>Table112324567[[#This Row],[M (KN.mm)]]/(Table112324567[[#This Row],[b (mm)]]*Table112324567[[#This Row],[h (mm)]]*Table112324567[[#This Row],[L(mm)]]/2)</f>
        <v>7.4750000000000001E-4</v>
      </c>
      <c r="S22" s="8">
        <f>Table112324567[[#This Row],[M (KN.mm)]]/(Table112324567[[#This Row],[a (mm)]]*Table112324567[[#This Row],[b (mm)]]*Table112324567[[#This Row],[h (mm)]]*Table112324567[[#This Row],[L(mm)]]/2)</f>
        <v>1.3828763828763829E-7</v>
      </c>
      <c r="T22" s="8">
        <f>G22/($AN$5*AK22*0.001*Table112324567[[#This Row],[pho (%)]])</f>
        <v>6.2196491565382265E-7</v>
      </c>
      <c r="U22" s="8">
        <f>Table112324567[[#This Row],[M (KN.mm)]]/(Table112324567[[#This Row],[b (mm)]]*Table112324567[[#This Row],[d (mm)]]*Table112324567[[#This Row],[pho (%)]])</f>
        <v>5.7779729729729725</v>
      </c>
      <c r="V22" s="8">
        <f>E22*224.8/(2*SQRT(Table112324567[[#This Row],[fc (Mpa)]]*145.037)*Table112324567[[#This Row],[b (mm)]]*Table112324567[[#This Row],[d (mm)]]*(1/25.4)^2)</f>
        <v>0.80508123984867364</v>
      </c>
      <c r="W22" s="8">
        <f>Table112324567[[#This Row],[M (KN.mm)]]/$G$22</f>
        <v>1</v>
      </c>
      <c r="X22" s="8">
        <f>E22*224.8/(2*SQRT(Table112324567[[#This Row],[fc (Mpa)]]*145.037)*Table112324567[[#This Row],[b (mm)]]*Table112324567[[#This Row],[d (mm)]]*(1/25.4)^2+Table112324567[[#This Row],[Av fy d/s (N)]]*0.2248)</f>
        <v>0.58483982777068289</v>
      </c>
      <c r="Y22" s="15">
        <v>0.37</v>
      </c>
      <c r="Z22" s="8">
        <f>Table112324567[[#This Row],[Av fy/(b S) (Mpa)]]*Table112324567[[#This Row],[d (mm)]]*Table112324567[[#This Row],[b (mm)]]</f>
        <v>209790</v>
      </c>
      <c r="AA22" s="8">
        <f>Table112324567[[#This Row],[d (mm)]]/2700</f>
        <v>0.7</v>
      </c>
      <c r="AB22" s="8">
        <f>Table112324567[[#This Row],[a/d]]*Table112324567[[#This Row],[d]]</f>
        <v>5405.4</v>
      </c>
      <c r="AC22" s="8">
        <f>Table112324567[[#This Row],[d]]</f>
        <v>1890</v>
      </c>
      <c r="AD22" s="8">
        <v>2000</v>
      </c>
      <c r="AE22" s="5">
        <v>300</v>
      </c>
      <c r="AF22" s="15">
        <v>35</v>
      </c>
      <c r="AG22" s="8">
        <f>Table112324567[[#This Row],[pho (%)]]/100*Table112324567[[#This Row],[b (mm)]]*Table112324567[[#This Row],[d (mm)]]</f>
        <v>4195.8</v>
      </c>
      <c r="AH22" s="8">
        <v>0.74</v>
      </c>
      <c r="AI22" s="8">
        <v>508</v>
      </c>
      <c r="AJ22" s="8">
        <f>(1/3-0.21*(MIN(Table112324567[[#This Row],[b (mm)]],AD22)/MAX(Table112324567[[#This Row],[b (mm)]],AD22))*(MIN(Table112324567[[#This Row],[b (mm)]],AD22)^4/(12*MAX(Table112324567[[#This Row],[b (mm)]],AD22)^4)))*MAX(Table112324567[[#This Row],[b (mm)]],AD22)*MIN(Table112324567[[#This Row],[b (mm)]],AD22)^3</f>
        <v>17999928239.0625</v>
      </c>
      <c r="AK22" s="8">
        <f>Table112324567[[#This Row],[b (mm)]]*AD22^3/12</f>
        <v>200000000000</v>
      </c>
      <c r="AL22" s="8">
        <f>2*Table112324567[[#This Row],[a (mm)]]</f>
        <v>10810.8</v>
      </c>
      <c r="AM22" s="12"/>
      <c r="AN22" s="12"/>
      <c r="AO22" s="12"/>
      <c r="AP22" s="1"/>
    </row>
    <row r="23" spans="1:42" s="10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 s="12"/>
      <c r="AN23" s="12"/>
      <c r="AO23" s="12"/>
      <c r="AP23" s="1"/>
    </row>
    <row r="24" spans="1:42" s="10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 s="12"/>
      <c r="AN24" s="12"/>
      <c r="AO24" s="12"/>
      <c r="AP24" s="1"/>
    </row>
    <row r="25" spans="1:42" s="10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 s="12"/>
      <c r="AN25" s="12"/>
      <c r="AO25" s="12"/>
      <c r="AP25" s="1"/>
    </row>
    <row r="26" spans="1:42" s="10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 s="12"/>
      <c r="AN26" s="12"/>
      <c r="AO26" s="12"/>
      <c r="AP26" s="1"/>
    </row>
    <row r="27" spans="1:42" s="10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 s="12"/>
      <c r="AN27" s="12"/>
      <c r="AO27" s="12"/>
      <c r="AP27" s="1"/>
    </row>
    <row r="28" spans="1:42" s="10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 s="12"/>
      <c r="AN28" s="12"/>
      <c r="AO28" s="12"/>
      <c r="AP28" s="1"/>
    </row>
    <row r="29" spans="1:42" s="10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 s="12"/>
      <c r="AN29" s="12"/>
      <c r="AO29" s="12"/>
      <c r="AP29" s="1"/>
    </row>
    <row r="30" spans="1:42" s="10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 s="12"/>
      <c r="AN30" s="12"/>
      <c r="AO30" s="12"/>
      <c r="AP30" s="1"/>
    </row>
    <row r="31" spans="1:4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42" s="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42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42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42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42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42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42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42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42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42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42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42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42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42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4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1"/>
      <c r="AN49" s="1"/>
    </row>
    <row r="50" spans="1:4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1"/>
      <c r="AN50" s="1"/>
    </row>
    <row r="51" spans="1:4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1"/>
      <c r="AN51" s="1"/>
    </row>
    <row r="52" spans="1:4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1"/>
      <c r="AN52" s="1"/>
    </row>
    <row r="53" spans="1:4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1"/>
      <c r="AN53" s="1"/>
    </row>
    <row r="54" spans="1:4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1"/>
      <c r="AN54" s="1"/>
    </row>
    <row r="55" spans="1:4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1"/>
      <c r="AN55" s="1"/>
    </row>
    <row r="56" spans="1:4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1"/>
      <c r="AN56" s="1"/>
    </row>
    <row r="57" spans="1:4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1"/>
      <c r="AN57" s="1"/>
    </row>
    <row r="58" spans="1:4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1"/>
      <c r="AN58" s="1"/>
    </row>
    <row r="59" spans="1:4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1"/>
      <c r="AN59" s="1"/>
    </row>
    <row r="60" spans="1:4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1"/>
      <c r="AN60" s="1"/>
    </row>
    <row r="61" spans="1:4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1"/>
      <c r="AN61" s="1"/>
    </row>
    <row r="62" spans="1:4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1"/>
      <c r="AN62" s="1"/>
    </row>
    <row r="63" spans="1:4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1"/>
      <c r="AN63" s="1"/>
      <c r="AQ63" s="1"/>
    </row>
    <row r="64" spans="1:4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1"/>
      <c r="AN64" s="1"/>
      <c r="AQ64" s="1"/>
    </row>
    <row r="65" spans="1:4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"/>
      <c r="AN65" s="1"/>
      <c r="AQ65" s="1"/>
    </row>
    <row r="66" spans="1:4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 s="1"/>
      <c r="AN66" s="1"/>
    </row>
    <row r="67" spans="1:4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1"/>
      <c r="AN67" s="1"/>
    </row>
    <row r="68" spans="1:4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1"/>
      <c r="AN68" s="1"/>
    </row>
    <row r="69" spans="1:4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1"/>
      <c r="AN69" s="1"/>
    </row>
    <row r="70" spans="1:4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1"/>
      <c r="AN70" s="1"/>
    </row>
    <row r="71" spans="1:4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14"/>
      <c r="AN71" s="22"/>
      <c r="AO71" s="13"/>
      <c r="AP71" s="13"/>
    </row>
    <row r="72" spans="1:4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14"/>
      <c r="AN72" s="22"/>
      <c r="AO72" s="13"/>
      <c r="AP72" s="13"/>
    </row>
    <row r="73" spans="1:4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14"/>
      <c r="AN73" s="22"/>
      <c r="AO73" s="13"/>
      <c r="AP73" s="13"/>
    </row>
    <row r="74" spans="1:4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14"/>
      <c r="AN74" s="22"/>
      <c r="AO74" s="13"/>
      <c r="AP74" s="13"/>
    </row>
    <row r="75" spans="1:4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14"/>
      <c r="AN75" s="22"/>
      <c r="AO75" s="13"/>
      <c r="AP75" s="13"/>
    </row>
    <row r="76" spans="1:4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14"/>
      <c r="AN76" s="22"/>
      <c r="AO76" s="13"/>
      <c r="AP76" s="13"/>
    </row>
    <row r="77" spans="1:4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14"/>
      <c r="AN77" s="22"/>
      <c r="AO77" s="13"/>
      <c r="AP77" s="13"/>
    </row>
    <row r="78" spans="1:4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14"/>
      <c r="AN78" s="22"/>
      <c r="AO78" s="13"/>
      <c r="AP78" s="13"/>
    </row>
    <row r="79" spans="1:4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14"/>
      <c r="AN79" s="22"/>
      <c r="AO79" s="13"/>
      <c r="AP79" s="13"/>
    </row>
    <row r="80" spans="1:4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14"/>
      <c r="AN80" s="22"/>
      <c r="AO80" s="13"/>
      <c r="AP80" s="13"/>
    </row>
    <row r="81" spans="1:4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14"/>
      <c r="AN81" s="22"/>
      <c r="AO81" s="13"/>
      <c r="AP81" s="13"/>
    </row>
    <row r="82" spans="1:4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12"/>
      <c r="AN82" s="6"/>
    </row>
    <row r="83" spans="1:4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 s="12"/>
      <c r="AN83" s="6"/>
    </row>
    <row r="84" spans="1:4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 s="14"/>
      <c r="AN84" s="22"/>
      <c r="AO84" s="13"/>
      <c r="AP84" s="13"/>
    </row>
    <row r="85" spans="1:4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 s="14"/>
      <c r="AN85" s="22"/>
      <c r="AO85" s="13"/>
      <c r="AP85" s="13"/>
    </row>
    <row r="86" spans="1:4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 s="14"/>
      <c r="AN86" s="22"/>
      <c r="AO86" s="13"/>
      <c r="AP86" s="13"/>
    </row>
    <row r="87" spans="1:4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 s="14"/>
      <c r="AN87" s="22"/>
      <c r="AO87" s="13"/>
      <c r="AP87" s="13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/>
      <c r="AM88" s="1"/>
      <c r="AN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/>
      <c r="AM89" s="1"/>
      <c r="AN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/>
      <c r="AM90" s="1"/>
      <c r="AN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/>
      <c r="AM91" s="1"/>
      <c r="AN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/>
      <c r="AM92" s="1"/>
      <c r="AN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/>
      <c r="AM93" s="1"/>
      <c r="AN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/>
      <c r="AM94" s="1"/>
      <c r="AN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/>
      <c r="AM95" s="1"/>
      <c r="AN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/>
      <c r="AM96" s="1"/>
      <c r="AN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/>
      <c r="AM97" s="1"/>
      <c r="AN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/>
      <c r="AM98" s="1"/>
      <c r="AN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/>
      <c r="AM99" s="1"/>
      <c r="AN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/>
      <c r="AM100" s="1"/>
      <c r="AN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Q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46"/>
  <sheetViews>
    <sheetView zoomScaleNormal="100" workbookViewId="0">
      <selection activeCell="T10" sqref="T10"/>
    </sheetView>
  </sheetViews>
  <sheetFormatPr defaultRowHeight="15" x14ac:dyDescent="0.25"/>
  <cols>
    <col min="1" max="1" width="10.7109375" style="2" customWidth="1"/>
    <col min="2" max="2" width="7" style="2" customWidth="1"/>
    <col min="3" max="3" width="7.42578125" style="2" customWidth="1"/>
    <col min="4" max="4" width="15" style="2" customWidth="1"/>
    <col min="5" max="5" width="10.85546875" style="2" customWidth="1"/>
    <col min="6" max="6" width="12.85546875" style="2" customWidth="1"/>
    <col min="7" max="7" width="12" style="2" customWidth="1"/>
    <col min="8" max="8" width="10.5703125" style="2" customWidth="1"/>
    <col min="9" max="9" width="10.85546875" style="2" customWidth="1"/>
    <col min="10" max="10" width="13.140625" style="2" customWidth="1"/>
    <col min="11" max="11" width="8.85546875" style="2" customWidth="1"/>
    <col min="12" max="12" width="8.42578125" style="2" customWidth="1"/>
    <col min="13" max="17" width="10" style="2" customWidth="1"/>
    <col min="18" max="21" width="14.7109375" style="2" customWidth="1"/>
    <col min="22" max="22" width="17.42578125" style="2" customWidth="1"/>
    <col min="23" max="23" width="17.85546875" style="2" customWidth="1"/>
    <col min="24" max="24" width="17.140625" style="2" customWidth="1"/>
    <col min="25" max="27" width="17.85546875" style="2" customWidth="1"/>
    <col min="28" max="28" width="9.42578125" style="2" customWidth="1"/>
    <col min="29" max="30" width="9.5703125" style="2" customWidth="1"/>
    <col min="31" max="31" width="10.7109375" style="2" customWidth="1"/>
    <col min="32" max="32" width="9.85546875" style="2" customWidth="1"/>
    <col min="33" max="33" width="12.5703125" style="2" customWidth="1"/>
    <col min="34" max="34" width="11.7109375" style="2" customWidth="1"/>
    <col min="35" max="35" width="11" style="2" customWidth="1"/>
    <col min="36" max="36" width="12.42578125" style="2" customWidth="1"/>
    <col min="37" max="38" width="14.28515625" style="2" customWidth="1"/>
    <col min="39" max="39" width="15.28515625" style="2" customWidth="1"/>
    <col min="40" max="40" width="15.7109375" style="2" customWidth="1"/>
    <col min="41" max="42" width="9.140625" style="1"/>
    <col min="43" max="16384" width="9.140625" style="2"/>
  </cols>
  <sheetData>
    <row r="1" spans="1:42" ht="80.25" customHeight="1" x14ac:dyDescent="0.25">
      <c r="A1" s="4" t="s">
        <v>25</v>
      </c>
      <c r="B1" s="4" t="s">
        <v>23</v>
      </c>
      <c r="C1" s="4" t="s">
        <v>24</v>
      </c>
      <c r="D1" s="4" t="s">
        <v>40</v>
      </c>
      <c r="E1" s="3" t="s">
        <v>19</v>
      </c>
      <c r="F1" s="4" t="s">
        <v>26</v>
      </c>
      <c r="G1" s="3" t="s">
        <v>18</v>
      </c>
      <c r="H1" s="3" t="s">
        <v>0</v>
      </c>
      <c r="I1" s="3" t="s">
        <v>9</v>
      </c>
      <c r="J1" s="3" t="s">
        <v>10</v>
      </c>
      <c r="K1" s="3" t="s">
        <v>16</v>
      </c>
      <c r="L1" s="3" t="s">
        <v>15</v>
      </c>
      <c r="M1" s="3" t="s">
        <v>21</v>
      </c>
      <c r="N1" s="3" t="s">
        <v>22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158</v>
      </c>
      <c r="U1" s="3" t="s">
        <v>38</v>
      </c>
      <c r="V1" s="3" t="s">
        <v>44</v>
      </c>
      <c r="W1" s="3" t="s">
        <v>39</v>
      </c>
      <c r="X1" s="26" t="s">
        <v>111</v>
      </c>
      <c r="Y1" s="26" t="s">
        <v>108</v>
      </c>
      <c r="Z1" s="26" t="s">
        <v>110</v>
      </c>
      <c r="AA1" s="55" t="s">
        <v>109</v>
      </c>
      <c r="AB1" s="3" t="s">
        <v>1</v>
      </c>
      <c r="AC1" s="3" t="s">
        <v>5</v>
      </c>
      <c r="AD1" s="3" t="s">
        <v>8</v>
      </c>
      <c r="AE1" s="3" t="s">
        <v>28</v>
      </c>
      <c r="AF1" s="3" t="s">
        <v>29</v>
      </c>
      <c r="AG1" s="3" t="s">
        <v>6</v>
      </c>
      <c r="AH1" s="3" t="s">
        <v>7</v>
      </c>
      <c r="AI1" s="3" t="s">
        <v>14</v>
      </c>
      <c r="AJ1" s="3" t="s">
        <v>11</v>
      </c>
      <c r="AK1" s="3" t="s">
        <v>13</v>
      </c>
      <c r="AL1" s="3" t="s">
        <v>30</v>
      </c>
      <c r="AM1" s="1" t="s">
        <v>20</v>
      </c>
      <c r="AN1" s="1" t="s">
        <v>27</v>
      </c>
      <c r="AO1" s="1" t="s">
        <v>32</v>
      </c>
      <c r="AP1" s="1" t="s">
        <v>37</v>
      </c>
    </row>
    <row r="2" spans="1:42" x14ac:dyDescent="0.25">
      <c r="A2" s="27" t="s">
        <v>151</v>
      </c>
      <c r="B2" s="27">
        <v>1</v>
      </c>
      <c r="C2" s="3">
        <v>1</v>
      </c>
      <c r="D2" s="64">
        <v>0.5</v>
      </c>
      <c r="E2" s="3">
        <v>125</v>
      </c>
      <c r="F2" s="3">
        <v>240</v>
      </c>
      <c r="G2" s="8">
        <f>E2*AB2</f>
        <v>15000</v>
      </c>
      <c r="H2" s="8">
        <f>G2/($AN$5*AK2*0.001)</f>
        <v>2.531314220738474E-6</v>
      </c>
      <c r="I2" s="8">
        <f>G2/(Table1123245678[[#This Row],[b (mm)]]*AC2^2)</f>
        <v>2.6041666666666665E-3</v>
      </c>
      <c r="J2" s="8">
        <f>G2/(AG2*AI2*AC2*0.001)</f>
        <v>2.1673213711064503</v>
      </c>
      <c r="K2" s="8">
        <f>E2/($AN$4*AJ2*0.001)</f>
        <v>3.9817519748015089E-5</v>
      </c>
      <c r="L2" s="8">
        <f>E2/(Table1123245678[[#This Row],[b (mm)]]*AC2)</f>
        <v>5.208333333333333E-3</v>
      </c>
      <c r="M2" s="8">
        <f>Table1123245678[[#This Row],[M (KN.mm)]]/(Table1123245678[[#This Row],[b (mm)]]*Table1123245678[[#This Row],[d (mm)]])</f>
        <v>0.625</v>
      </c>
      <c r="N2" s="8">
        <f>Table1123245678[[#This Row],[M (KN.mm)]]/(Table1123245678[[#This Row],[b (mm)]]*Table1123245678[[#This Row],[h (mm)]])</f>
        <v>0.5</v>
      </c>
      <c r="O2" s="8">
        <f>Table1123245678[[#This Row],[M (KN.mm)]]/(Table1123245678[[#This Row],[b (mm)]]*Table1123245678[[#This Row],[h (mm)]]*Table1123245678[[#This Row],[L(mm)]])</f>
        <v>6.6666666666666664E-4</v>
      </c>
      <c r="P2" s="8">
        <f>Table1123245678[[#This Row],[M (KN.mm)]]/(Table1123245678[[#This Row],[b (mm)]]*Table1123245678[[#This Row],[d (mm)]]*Table1123245678[[#This Row],[L(mm)]])</f>
        <v>8.3333333333333339E-4</v>
      </c>
      <c r="Q2" s="8">
        <f>Table1123245678[[#This Row],[M (KN.mm)]]/(Table1123245678[[#This Row],[b (mm)]]*Table1123245678[[#This Row],[h (mm)]]*Table1123245678[[#This Row],[L(mm)]]*Table1123245678[[#This Row],[fc (Mpa)]])</f>
        <v>2.0449897750511246E-5</v>
      </c>
      <c r="R2" s="8">
        <f>Table1123245678[[#This Row],[M (KN.mm)]]/(Table1123245678[[#This Row],[b (mm)]]*Table1123245678[[#This Row],[h (mm)]]*Table1123245678[[#This Row],[L(mm)]]/2)</f>
        <v>1.3333333333333333E-3</v>
      </c>
      <c r="S2" s="8">
        <f>Table1123245678[[#This Row],[M (KN.mm)]]/(Table1123245678[[#This Row],[a (mm)]]*Table1123245678[[#This Row],[b (mm)]]*Table1123245678[[#This Row],[h (mm)]]*Table1123245678[[#This Row],[L(mm)]]/2)</f>
        <v>1.1111111111111112E-5</v>
      </c>
      <c r="T2" s="8">
        <f>G2/($AN$5*AK2*0.001*Table1123245678[[#This Row],[pho (%)]])</f>
        <v>7.8368861323172574E-6</v>
      </c>
      <c r="U2" s="8">
        <f>Table1123245678[[#This Row],[M (KN.mm)]]/(Table1123245678[[#This Row],[b (mm)]]*Table1123245678[[#This Row],[d (mm)]]*Table1123245678[[#This Row],[pho (%)]])</f>
        <v>1.9349845201238389</v>
      </c>
      <c r="V2" s="8">
        <f>E2*224.8/(2*SQRT(Table1123245678[[#This Row],[fc (Mpa)]]*145.037)*Table1123245678[[#This Row],[b (mm)]]*Table1123245678[[#This Row],[d (mm)]]*(1/25.4)^2)</f>
        <v>5.4926801727521619</v>
      </c>
      <c r="W2" s="8">
        <f>Table1123245678[[#This Row],[M (KN.mm)]]/$G$4</f>
        <v>0.41806020066889632</v>
      </c>
      <c r="X2" s="8">
        <f>E2*224.8/(2*SQRT(Table1123245678[[#This Row],[fc (Mpa)]]*145.037)*Table1123245678[[#This Row],[b (mm)]]*Table1123245678[[#This Row],[d (mm)]]*(1/25.4)^2+Table1123245678[[#This Row],[Av fy d/s (N)]]*0.2248)</f>
        <v>0.1600760402743279</v>
      </c>
      <c r="Y2" s="8">
        <f>388.2*284.8*2/(AE2*70)</f>
        <v>31.58838857142857</v>
      </c>
      <c r="Z2" s="8">
        <f>Table1123245678[[#This Row],[Av fy/(b S) (Mpa)]]*Table1123245678[[#This Row],[d (mm)]]*Table1123245678[[#This Row],[b (mm)]]</f>
        <v>758121.3257142856</v>
      </c>
      <c r="AA2" s="8">
        <f>Table1123245678[[#This Row],[d (mm)]]/70</f>
        <v>3.4285714285714284</v>
      </c>
      <c r="AB2" s="8">
        <f>Table1123245678[[#This Row],[a/d]]*Table1123245678[[#This Row],[d]]</f>
        <v>120</v>
      </c>
      <c r="AC2" s="8">
        <f>Table1123245678[[#This Row],[d]]</f>
        <v>240</v>
      </c>
      <c r="AD2" s="8">
        <v>300</v>
      </c>
      <c r="AE2" s="5">
        <v>100</v>
      </c>
      <c r="AF2" s="5">
        <v>32.6</v>
      </c>
      <c r="AG2" s="8">
        <f>Table1123245678[[#This Row],[pho (%)]]/100*Table1123245678[[#This Row],[b (mm)]]*Table1123245678[[#This Row],[d (mm)]]</f>
        <v>77.52</v>
      </c>
      <c r="AH2" s="8">
        <v>0.32300000000000001</v>
      </c>
      <c r="AI2" s="8">
        <v>372</v>
      </c>
      <c r="AJ2" s="8">
        <f>(1/3-0.21*(MIN(Table1123245678[[#This Row],[b (mm)]],AD2)/MAX(Table1123245678[[#This Row],[b (mm)]],AD2))*(MIN(Table1123245678[[#This Row],[b (mm)]],AD2)^4/(12*MAX(Table1123245678[[#This Row],[b (mm)]],AD2)^4)))*MAX(Table1123245678[[#This Row],[b (mm)]],AD2)*MIN(Table1123245678[[#This Row],[b (mm)]],AD2)^3</f>
        <v>99978395.061728373</v>
      </c>
      <c r="AK2" s="8">
        <f>Table1123245678[[#This Row],[b (mm)]]*AD2^3/12</f>
        <v>225000000</v>
      </c>
      <c r="AL2" s="8">
        <v>750</v>
      </c>
      <c r="AM2" s="12" t="s">
        <v>17</v>
      </c>
      <c r="AN2" s="6">
        <v>1250</v>
      </c>
    </row>
    <row r="3" spans="1:42" x14ac:dyDescent="0.25">
      <c r="A3" s="27" t="s">
        <v>151</v>
      </c>
      <c r="B3" s="27">
        <v>2</v>
      </c>
      <c r="C3" s="15">
        <v>2</v>
      </c>
      <c r="D3" s="64">
        <v>0.5</v>
      </c>
      <c r="E3" s="15">
        <v>250</v>
      </c>
      <c r="F3" s="3">
        <v>240</v>
      </c>
      <c r="G3" s="8">
        <f t="shared" ref="G3:G4" si="0">E3*AB3</f>
        <v>30000</v>
      </c>
      <c r="H3" s="8">
        <f t="shared" ref="H3:H4" si="1">G3/($AN$5*AK3*0.001)</f>
        <v>5.0626284414769479E-6</v>
      </c>
      <c r="I3" s="8">
        <f>G3/(Table1123245678[[#This Row],[b (mm)]]*AC3^2)</f>
        <v>5.208333333333333E-3</v>
      </c>
      <c r="J3" s="8">
        <f t="shared" ref="J3:J4" si="2">G3/(AG3*AI3*AC3*0.001)</f>
        <v>4.3346427422129006</v>
      </c>
      <c r="K3" s="8">
        <f t="shared" ref="K3:K4" si="3">E3/($AN$4*AJ3*0.001)</f>
        <v>7.9635039496030177E-5</v>
      </c>
      <c r="L3" s="8">
        <f>E3/(Table1123245678[[#This Row],[b (mm)]]*AC3)</f>
        <v>1.0416666666666666E-2</v>
      </c>
      <c r="M3" s="8">
        <f>Table1123245678[[#This Row],[M (KN.mm)]]/(Table1123245678[[#This Row],[b (mm)]]*Table1123245678[[#This Row],[d (mm)]])</f>
        <v>1.25</v>
      </c>
      <c r="N3" s="8">
        <f>Table1123245678[[#This Row],[M (KN.mm)]]/(Table1123245678[[#This Row],[b (mm)]]*Table1123245678[[#This Row],[h (mm)]])</f>
        <v>1</v>
      </c>
      <c r="O3" s="8">
        <f>Table1123245678[[#This Row],[M (KN.mm)]]/(Table1123245678[[#This Row],[b (mm)]]*Table1123245678[[#This Row],[h (mm)]]*Table1123245678[[#This Row],[L(mm)]])</f>
        <v>1.3333333333333333E-3</v>
      </c>
      <c r="P3" s="8">
        <f>Table1123245678[[#This Row],[M (KN.mm)]]/(Table1123245678[[#This Row],[b (mm)]]*Table1123245678[[#This Row],[d (mm)]]*Table1123245678[[#This Row],[L(mm)]])</f>
        <v>1.6666666666666668E-3</v>
      </c>
      <c r="Q3" s="8">
        <f>Table1123245678[[#This Row],[M (KN.mm)]]/(Table1123245678[[#This Row],[b (mm)]]*Table1123245678[[#This Row],[h (mm)]]*Table1123245678[[#This Row],[L(mm)]]*Table1123245678[[#This Row],[fc (Mpa)]])</f>
        <v>4.0899795501022493E-5</v>
      </c>
      <c r="R3" s="8">
        <f>Table1123245678[[#This Row],[M (KN.mm)]]/(Table1123245678[[#This Row],[b (mm)]]*Table1123245678[[#This Row],[h (mm)]]*Table1123245678[[#This Row],[L(mm)]]/2)</f>
        <v>2.6666666666666666E-3</v>
      </c>
      <c r="S3" s="8">
        <f>Table1123245678[[#This Row],[M (KN.mm)]]/(Table1123245678[[#This Row],[a (mm)]]*Table1123245678[[#This Row],[b (mm)]]*Table1123245678[[#This Row],[h (mm)]]*Table1123245678[[#This Row],[L(mm)]]/2)</f>
        <v>2.2222222222222223E-5</v>
      </c>
      <c r="T3" s="8">
        <f>G3/($AN$5*AK3*0.001*Table1123245678[[#This Row],[pho (%)]])</f>
        <v>1.5673772264634515E-5</v>
      </c>
      <c r="U3" s="8">
        <f>Table1123245678[[#This Row],[M (KN.mm)]]/(Table1123245678[[#This Row],[b (mm)]]*Table1123245678[[#This Row],[d (mm)]]*Table1123245678[[#This Row],[pho (%)]])</f>
        <v>3.8699690402476778</v>
      </c>
      <c r="V3" s="8">
        <f>E3*224.8/(2*SQRT(Table1123245678[[#This Row],[fc (Mpa)]]*145.037)*Table1123245678[[#This Row],[b (mm)]]*Table1123245678[[#This Row],[d (mm)]]*(1/25.4)^2)</f>
        <v>10.985360345504324</v>
      </c>
      <c r="W3" s="8">
        <f>Table1123245678[[#This Row],[M (KN.mm)]]/$G$4</f>
        <v>0.83612040133779264</v>
      </c>
      <c r="X3" s="8">
        <f>E3*224.8/(2*SQRT(Table1123245678[[#This Row],[fc (Mpa)]]*145.037)*Table1123245678[[#This Row],[b (mm)]]*Table1123245678[[#This Row],[d (mm)]]*(1/25.4)^2+Table1123245678[[#This Row],[Av fy d/s (N)]]*0.2248)</f>
        <v>0.32015208054865579</v>
      </c>
      <c r="Y3" s="8">
        <f t="shared" ref="Y3:Y13" si="4">388.2*284.8*2/(AE3*70)</f>
        <v>31.58838857142857</v>
      </c>
      <c r="Z3" s="8">
        <f>Table1123245678[[#This Row],[Av fy/(b S) (Mpa)]]*Table1123245678[[#This Row],[d (mm)]]*Table1123245678[[#This Row],[b (mm)]]</f>
        <v>758121.3257142856</v>
      </c>
      <c r="AA3" s="8">
        <f>Table1123245678[[#This Row],[d (mm)]]/70</f>
        <v>3.4285714285714284</v>
      </c>
      <c r="AB3" s="8">
        <f>Table1123245678[[#This Row],[a/d]]*Table1123245678[[#This Row],[d]]</f>
        <v>120</v>
      </c>
      <c r="AC3" s="8">
        <f>Table1123245678[[#This Row],[d]]</f>
        <v>240</v>
      </c>
      <c r="AD3" s="8">
        <v>300</v>
      </c>
      <c r="AE3" s="5">
        <v>100</v>
      </c>
      <c r="AF3" s="5">
        <v>32.6</v>
      </c>
      <c r="AG3" s="8">
        <f>Table1123245678[[#This Row],[pho (%)]]/100*Table1123245678[[#This Row],[b (mm)]]*Table1123245678[[#This Row],[d (mm)]]</f>
        <v>77.52</v>
      </c>
      <c r="AH3" s="8">
        <v>0.32300000000000001</v>
      </c>
      <c r="AI3" s="8">
        <v>372</v>
      </c>
      <c r="AJ3" s="8">
        <f>(1/3-0.21*(MIN(Table1123245678[[#This Row],[b (mm)]],AD3)/MAX(Table1123245678[[#This Row],[b (mm)]],AD3))*(MIN(Table1123245678[[#This Row],[b (mm)]],AD3)^4/(12*MAX(Table1123245678[[#This Row],[b (mm)]],AD3)^4)))*MAX(Table1123245678[[#This Row],[b (mm)]],AD3)*MIN(Table1123245678[[#This Row],[b (mm)]],AD3)^3</f>
        <v>99978395.061728373</v>
      </c>
      <c r="AK3" s="8">
        <f>Table1123245678[[#This Row],[b (mm)]]*AD3^3/12</f>
        <v>225000000</v>
      </c>
      <c r="AL3" s="8">
        <v>750</v>
      </c>
      <c r="AM3" s="12" t="s">
        <v>2</v>
      </c>
      <c r="AN3" s="6">
        <v>200</v>
      </c>
    </row>
    <row r="4" spans="1:42" x14ac:dyDescent="0.25">
      <c r="A4" s="27" t="s">
        <v>151</v>
      </c>
      <c r="B4" s="27">
        <v>3</v>
      </c>
      <c r="C4" s="3">
        <v>3</v>
      </c>
      <c r="D4" s="64">
        <v>0.5</v>
      </c>
      <c r="E4" s="15">
        <v>299</v>
      </c>
      <c r="F4" s="3">
        <v>240</v>
      </c>
      <c r="G4" s="8">
        <f t="shared" si="0"/>
        <v>35880</v>
      </c>
      <c r="H4" s="8">
        <f t="shared" si="1"/>
        <v>6.0549036160064296E-6</v>
      </c>
      <c r="I4" s="8">
        <f>G4/(Table1123245678[[#This Row],[b (mm)]]*AC4^2)</f>
        <v>6.2291666666666667E-3</v>
      </c>
      <c r="J4" s="8">
        <f t="shared" si="2"/>
        <v>5.18423271968663</v>
      </c>
      <c r="K4" s="8">
        <f t="shared" si="3"/>
        <v>9.5243507237252088E-5</v>
      </c>
      <c r="L4" s="8">
        <f>E4/(Table1123245678[[#This Row],[b (mm)]]*AC4)</f>
        <v>1.2458333333333333E-2</v>
      </c>
      <c r="M4" s="8">
        <f>Table1123245678[[#This Row],[M (KN.mm)]]/(Table1123245678[[#This Row],[b (mm)]]*Table1123245678[[#This Row],[d (mm)]])</f>
        <v>1.4950000000000001</v>
      </c>
      <c r="N4" s="8">
        <f>Table1123245678[[#This Row],[M (KN.mm)]]/(Table1123245678[[#This Row],[b (mm)]]*Table1123245678[[#This Row],[h (mm)]])</f>
        <v>1.196</v>
      </c>
      <c r="O4" s="8">
        <f>Table1123245678[[#This Row],[M (KN.mm)]]/(Table1123245678[[#This Row],[b (mm)]]*Table1123245678[[#This Row],[h (mm)]]*Table1123245678[[#This Row],[L(mm)]])</f>
        <v>1.5946666666666668E-3</v>
      </c>
      <c r="P4" s="8">
        <f>Table1123245678[[#This Row],[M (KN.mm)]]/(Table1123245678[[#This Row],[b (mm)]]*Table1123245678[[#This Row],[d (mm)]]*Table1123245678[[#This Row],[L(mm)]])</f>
        <v>1.9933333333333335E-3</v>
      </c>
      <c r="Q4" s="8">
        <f>Table1123245678[[#This Row],[M (KN.mm)]]/(Table1123245678[[#This Row],[b (mm)]]*Table1123245678[[#This Row],[h (mm)]]*Table1123245678[[#This Row],[L(mm)]]*Table1123245678[[#This Row],[fc (Mpa)]])</f>
        <v>4.8916155419222906E-5</v>
      </c>
      <c r="R4" s="8">
        <f>Table1123245678[[#This Row],[M (KN.mm)]]/(Table1123245678[[#This Row],[b (mm)]]*Table1123245678[[#This Row],[h (mm)]]*Table1123245678[[#This Row],[L(mm)]]/2)</f>
        <v>3.1893333333333335E-3</v>
      </c>
      <c r="S4" s="8">
        <f>Table1123245678[[#This Row],[M (KN.mm)]]/(Table1123245678[[#This Row],[a (mm)]]*Table1123245678[[#This Row],[b (mm)]]*Table1123245678[[#This Row],[h (mm)]]*Table1123245678[[#This Row],[L(mm)]]/2)</f>
        <v>2.6577777777777777E-5</v>
      </c>
      <c r="T4" s="8">
        <f>G4/($AN$5*AK4*0.001*Table1123245678[[#This Row],[pho (%)]])</f>
        <v>1.8745831628502879E-5</v>
      </c>
      <c r="U4" s="8">
        <f>Table1123245678[[#This Row],[M (KN.mm)]]/(Table1123245678[[#This Row],[b (mm)]]*Table1123245678[[#This Row],[d (mm)]]*Table1123245678[[#This Row],[pho (%)]])</f>
        <v>4.6284829721362231</v>
      </c>
      <c r="V4" s="8">
        <f>E4*224.8/(2*SQRT(Table1123245678[[#This Row],[fc (Mpa)]]*145.037)*Table1123245678[[#This Row],[b (mm)]]*Table1123245678[[#This Row],[d (mm)]]*(1/25.4)^2)</f>
        <v>13.13849097322317</v>
      </c>
      <c r="W4" s="8">
        <f>Table1123245678[[#This Row],[M (KN.mm)]]/$G$4</f>
        <v>1</v>
      </c>
      <c r="X4" s="8">
        <f>E4*224.8/(2*SQRT(Table1123245678[[#This Row],[fc (Mpa)]]*145.037)*Table1123245678[[#This Row],[b (mm)]]*Table1123245678[[#This Row],[d (mm)]]*(1/25.4)^2+Table1123245678[[#This Row],[Av fy d/s (N)]]*0.2248)</f>
        <v>0.38290188833619226</v>
      </c>
      <c r="Y4" s="8">
        <f t="shared" si="4"/>
        <v>31.58838857142857</v>
      </c>
      <c r="Z4" s="8">
        <f>Table1123245678[[#This Row],[Av fy/(b S) (Mpa)]]*Table1123245678[[#This Row],[d (mm)]]*Table1123245678[[#This Row],[b (mm)]]</f>
        <v>758121.3257142856</v>
      </c>
      <c r="AA4" s="8">
        <f>Table1123245678[[#This Row],[d (mm)]]/70</f>
        <v>3.4285714285714284</v>
      </c>
      <c r="AB4" s="8">
        <f>Table1123245678[[#This Row],[a/d]]*Table1123245678[[#This Row],[d]]</f>
        <v>120</v>
      </c>
      <c r="AC4" s="8">
        <f>Table1123245678[[#This Row],[d]]</f>
        <v>240</v>
      </c>
      <c r="AD4" s="8">
        <v>300</v>
      </c>
      <c r="AE4" s="5">
        <v>100</v>
      </c>
      <c r="AF4" s="5">
        <v>32.6</v>
      </c>
      <c r="AG4" s="8">
        <f>Table1123245678[[#This Row],[pho (%)]]/100*Table1123245678[[#This Row],[b (mm)]]*Table1123245678[[#This Row],[d (mm)]]</f>
        <v>77.52</v>
      </c>
      <c r="AH4" s="8">
        <v>0.32300000000000001</v>
      </c>
      <c r="AI4" s="8">
        <v>372</v>
      </c>
      <c r="AJ4" s="8">
        <f>(1/3-0.21*(MIN(Table1123245678[[#This Row],[b (mm)]],AD4)/MAX(Table1123245678[[#This Row],[b (mm)]],AD4))*(MIN(Table1123245678[[#This Row],[b (mm)]],AD4)^4/(12*MAX(Table1123245678[[#This Row],[b (mm)]],AD4)^4)))*MAX(Table1123245678[[#This Row],[b (mm)]],AD4)*MIN(Table1123245678[[#This Row],[b (mm)]],AD4)^3</f>
        <v>99978395.061728373</v>
      </c>
      <c r="AK4" s="8">
        <f>Table1123245678[[#This Row],[b (mm)]]*AD4^3/12</f>
        <v>225000000</v>
      </c>
      <c r="AL4" s="8">
        <v>750</v>
      </c>
      <c r="AM4" s="12" t="s">
        <v>3</v>
      </c>
      <c r="AN4" s="6">
        <v>31.4</v>
      </c>
    </row>
    <row r="5" spans="1:42" x14ac:dyDescent="0.25">
      <c r="A5" s="68" t="s">
        <v>152</v>
      </c>
      <c r="B5" s="68">
        <v>1</v>
      </c>
      <c r="C5" s="15">
        <v>4</v>
      </c>
      <c r="D5" s="64">
        <v>1</v>
      </c>
      <c r="E5" s="15">
        <v>75</v>
      </c>
      <c r="F5" s="3">
        <v>240</v>
      </c>
      <c r="G5" s="8">
        <f t="shared" ref="G5:G13" si="5">E5*AB5</f>
        <v>18000</v>
      </c>
      <c r="H5" s="8">
        <f t="shared" ref="H5:H13" si="6">G5/($AN$5*AK5*0.001)</f>
        <v>3.0375770648861686E-6</v>
      </c>
      <c r="I5" s="8">
        <f>G5/(Table1123245678[[#This Row],[b (mm)]]*AC5^2)</f>
        <v>3.1250000000000002E-3</v>
      </c>
      <c r="J5" s="8">
        <f t="shared" ref="J5:J13" si="7">G5/(AG5*AI5*AC5*0.001)</f>
        <v>2.6007856453277407</v>
      </c>
      <c r="K5" s="8">
        <f t="shared" ref="K5:K13" si="8">E5/($AN$4*AJ5*0.001)</f>
        <v>2.3890511848809051E-5</v>
      </c>
      <c r="L5" s="8">
        <f>E5/(Table1123245678[[#This Row],[b (mm)]]*AC5)</f>
        <v>3.1250000000000002E-3</v>
      </c>
      <c r="M5" s="8">
        <f>Table1123245678[[#This Row],[M (KN.mm)]]/(Table1123245678[[#This Row],[b (mm)]]*Table1123245678[[#This Row],[d (mm)]])</f>
        <v>0.75</v>
      </c>
      <c r="N5" s="8">
        <f>Table1123245678[[#This Row],[M (KN.mm)]]/(Table1123245678[[#This Row],[b (mm)]]*Table1123245678[[#This Row],[h (mm)]])</f>
        <v>0.6</v>
      </c>
      <c r="O5" s="8">
        <f>Table1123245678[[#This Row],[M (KN.mm)]]/(Table1123245678[[#This Row],[b (mm)]]*Table1123245678[[#This Row],[h (mm)]]*Table1123245678[[#This Row],[L(mm)]])</f>
        <v>6.0606060606060606E-4</v>
      </c>
      <c r="P5" s="8">
        <f>Table1123245678[[#This Row],[M (KN.mm)]]/(Table1123245678[[#This Row],[b (mm)]]*Table1123245678[[#This Row],[d (mm)]]*Table1123245678[[#This Row],[L(mm)]])</f>
        <v>7.5757575757575758E-4</v>
      </c>
      <c r="Q5" s="8">
        <f>Table1123245678[[#This Row],[M (KN.mm)]]/(Table1123245678[[#This Row],[b (mm)]]*Table1123245678[[#This Row],[h (mm)]]*Table1123245678[[#This Row],[L(mm)]]*Table1123245678[[#This Row],[fc (Mpa)]])</f>
        <v>1.6976487564722856E-5</v>
      </c>
      <c r="R5" s="8">
        <f>Table1123245678[[#This Row],[M (KN.mm)]]/(Table1123245678[[#This Row],[b (mm)]]*Table1123245678[[#This Row],[h (mm)]]*Table1123245678[[#This Row],[L(mm)]]/2)</f>
        <v>1.2121212121212121E-3</v>
      </c>
      <c r="S5" s="8">
        <f>Table1123245678[[#This Row],[M (KN.mm)]]/(Table1123245678[[#This Row],[a (mm)]]*Table1123245678[[#This Row],[b (mm)]]*Table1123245678[[#This Row],[h (mm)]]*Table1123245678[[#This Row],[L(mm)]]/2)</f>
        <v>5.0505050505050507E-6</v>
      </c>
      <c r="T5" s="8">
        <f>G5/($AN$5*AK5*0.001*Table1123245678[[#This Row],[pho (%)]])</f>
        <v>9.4042633587807079E-6</v>
      </c>
      <c r="U5" s="8">
        <f>Table1123245678[[#This Row],[M (KN.mm)]]/(Table1123245678[[#This Row],[b (mm)]]*Table1123245678[[#This Row],[d (mm)]]*Table1123245678[[#This Row],[pho (%)]])</f>
        <v>2.321981424148607</v>
      </c>
      <c r="V5" s="8">
        <f>E5*224.8/(2*SQRT(Table1123245678[[#This Row],[fc (Mpa)]]*145.037)*Table1123245678[[#This Row],[b (mm)]]*Table1123245678[[#This Row],[d (mm)]]*(1/25.4)^2)</f>
        <v>3.149272595729415</v>
      </c>
      <c r="W5" s="8">
        <f>Table1123245678[[#This Row],[M (KN.mm)]]/$G$7</f>
        <v>0.32258064516129031</v>
      </c>
      <c r="X5" s="8">
        <f>E5*224.8/(2*SQRT(Table1123245678[[#This Row],[fc (Mpa)]]*145.037)*Table1123245678[[#This Row],[b (mm)]]*Table1123245678[[#This Row],[d (mm)]]*(1/25.4)^2+Table1123245678[[#This Row],[Av fy d/s (N)]]*0.2248)</f>
        <v>9.591573547133081E-2</v>
      </c>
      <c r="Y5" s="8">
        <f t="shared" si="4"/>
        <v>31.58838857142857</v>
      </c>
      <c r="Z5" s="8">
        <f>Table1123245678[[#This Row],[Av fy/(b S) (Mpa)]]*Table1123245678[[#This Row],[d (mm)]]*Table1123245678[[#This Row],[b (mm)]]</f>
        <v>758121.3257142856</v>
      </c>
      <c r="AA5" s="8">
        <f>Table1123245678[[#This Row],[d (mm)]]/70</f>
        <v>3.4285714285714284</v>
      </c>
      <c r="AB5" s="8">
        <f>Table1123245678[[#This Row],[a/d]]*Table1123245678[[#This Row],[d]]</f>
        <v>240</v>
      </c>
      <c r="AC5" s="8">
        <f>Table1123245678[[#This Row],[d]]</f>
        <v>240</v>
      </c>
      <c r="AD5" s="8">
        <v>300</v>
      </c>
      <c r="AE5" s="5">
        <v>100</v>
      </c>
      <c r="AF5" s="15">
        <v>35.700000000000003</v>
      </c>
      <c r="AG5" s="8">
        <f>Table1123245678[[#This Row],[pho (%)]]/100*Table1123245678[[#This Row],[b (mm)]]*Table1123245678[[#This Row],[d (mm)]]</f>
        <v>77.52</v>
      </c>
      <c r="AH5" s="8">
        <v>0.32300000000000001</v>
      </c>
      <c r="AI5" s="8">
        <v>372</v>
      </c>
      <c r="AJ5" s="8">
        <f>(1/3-0.21*(MIN(Table1123245678[[#This Row],[b (mm)]],AD5)/MAX(Table1123245678[[#This Row],[b (mm)]],AD5))*(MIN(Table1123245678[[#This Row],[b (mm)]],AD5)^4/(12*MAX(Table1123245678[[#This Row],[b (mm)]],AD5)^4)))*MAX(Table1123245678[[#This Row],[b (mm)]],AD5)*MIN(Table1123245678[[#This Row],[b (mm)]],AD5)^3</f>
        <v>99978395.061728373</v>
      </c>
      <c r="AK5" s="8">
        <f>Table1123245678[[#This Row],[b (mm)]]*AD5^3/12</f>
        <v>225000000</v>
      </c>
      <c r="AL5" s="15">
        <v>990</v>
      </c>
      <c r="AM5" s="12" t="s">
        <v>4</v>
      </c>
      <c r="AN5" s="6">
        <f>4700*SQRT(AN4)</f>
        <v>26336.780365109171</v>
      </c>
    </row>
    <row r="6" spans="1:42" x14ac:dyDescent="0.25">
      <c r="A6" s="68" t="s">
        <v>152</v>
      </c>
      <c r="B6" s="68">
        <v>2</v>
      </c>
      <c r="C6" s="3">
        <v>5</v>
      </c>
      <c r="D6" s="64">
        <v>1</v>
      </c>
      <c r="E6" s="15">
        <v>150</v>
      </c>
      <c r="F6" s="3">
        <v>240</v>
      </c>
      <c r="G6" s="8">
        <f t="shared" si="5"/>
        <v>36000</v>
      </c>
      <c r="H6" s="8">
        <f t="shared" si="6"/>
        <v>6.0751541297723372E-6</v>
      </c>
      <c r="I6" s="8">
        <f>G6/(Table1123245678[[#This Row],[b (mm)]]*AC6^2)</f>
        <v>6.2500000000000003E-3</v>
      </c>
      <c r="J6" s="8">
        <f t="shared" si="7"/>
        <v>5.2015712906554814</v>
      </c>
      <c r="K6" s="8">
        <f t="shared" si="8"/>
        <v>4.7781023697618102E-5</v>
      </c>
      <c r="L6" s="8">
        <f>E6/(Table1123245678[[#This Row],[b (mm)]]*AC6)</f>
        <v>6.2500000000000003E-3</v>
      </c>
      <c r="M6" s="8">
        <f>Table1123245678[[#This Row],[M (KN.mm)]]/(Table1123245678[[#This Row],[b (mm)]]*Table1123245678[[#This Row],[d (mm)]])</f>
        <v>1.5</v>
      </c>
      <c r="N6" s="8">
        <f>Table1123245678[[#This Row],[M (KN.mm)]]/(Table1123245678[[#This Row],[b (mm)]]*Table1123245678[[#This Row],[h (mm)]])</f>
        <v>1.2</v>
      </c>
      <c r="O6" s="8">
        <f>Table1123245678[[#This Row],[M (KN.mm)]]/(Table1123245678[[#This Row],[b (mm)]]*Table1123245678[[#This Row],[h (mm)]]*Table1123245678[[#This Row],[L(mm)]])</f>
        <v>1.2121212121212121E-3</v>
      </c>
      <c r="P6" s="8">
        <f>Table1123245678[[#This Row],[M (KN.mm)]]/(Table1123245678[[#This Row],[b (mm)]]*Table1123245678[[#This Row],[d (mm)]]*Table1123245678[[#This Row],[L(mm)]])</f>
        <v>1.5151515151515152E-3</v>
      </c>
      <c r="Q6" s="8">
        <f>Table1123245678[[#This Row],[M (KN.mm)]]/(Table1123245678[[#This Row],[b (mm)]]*Table1123245678[[#This Row],[h (mm)]]*Table1123245678[[#This Row],[L(mm)]]*Table1123245678[[#This Row],[fc (Mpa)]])</f>
        <v>3.3952975129445713E-5</v>
      </c>
      <c r="R6" s="8">
        <f>Table1123245678[[#This Row],[M (KN.mm)]]/(Table1123245678[[#This Row],[b (mm)]]*Table1123245678[[#This Row],[h (mm)]]*Table1123245678[[#This Row],[L(mm)]]/2)</f>
        <v>2.4242424242424242E-3</v>
      </c>
      <c r="S6" s="8">
        <f>Table1123245678[[#This Row],[M (KN.mm)]]/(Table1123245678[[#This Row],[a (mm)]]*Table1123245678[[#This Row],[b (mm)]]*Table1123245678[[#This Row],[h (mm)]]*Table1123245678[[#This Row],[L(mm)]]/2)</f>
        <v>1.0101010101010101E-5</v>
      </c>
      <c r="T6" s="8">
        <f>G6/($AN$5*AK6*0.001*Table1123245678[[#This Row],[pho (%)]])</f>
        <v>1.8808526717561416E-5</v>
      </c>
      <c r="U6" s="8">
        <f>Table1123245678[[#This Row],[M (KN.mm)]]/(Table1123245678[[#This Row],[b (mm)]]*Table1123245678[[#This Row],[d (mm)]]*Table1123245678[[#This Row],[pho (%)]])</f>
        <v>4.643962848297214</v>
      </c>
      <c r="V6" s="8">
        <f>E6*224.8/(2*SQRT(Table1123245678[[#This Row],[fc (Mpa)]]*145.037)*Table1123245678[[#This Row],[b (mm)]]*Table1123245678[[#This Row],[d (mm)]]*(1/25.4)^2)</f>
        <v>6.29854519145883</v>
      </c>
      <c r="W6" s="8">
        <f>Table1123245678[[#This Row],[M (KN.mm)]]/$G$7</f>
        <v>0.64516129032258063</v>
      </c>
      <c r="X6" s="8">
        <f>E6*224.8/(2*SQRT(Table1123245678[[#This Row],[fc (Mpa)]]*145.037)*Table1123245678[[#This Row],[b (mm)]]*Table1123245678[[#This Row],[d (mm)]]*(1/25.4)^2+Table1123245678[[#This Row],[Av fy d/s (N)]]*0.2248)</f>
        <v>0.19183147094266162</v>
      </c>
      <c r="Y6" s="8">
        <f t="shared" si="4"/>
        <v>31.58838857142857</v>
      </c>
      <c r="Z6" s="8">
        <f>Table1123245678[[#This Row],[Av fy/(b S) (Mpa)]]*Table1123245678[[#This Row],[d (mm)]]*Table1123245678[[#This Row],[b (mm)]]</f>
        <v>758121.3257142856</v>
      </c>
      <c r="AA6" s="8">
        <f>Table1123245678[[#This Row],[d (mm)]]/70</f>
        <v>3.4285714285714284</v>
      </c>
      <c r="AB6" s="8">
        <f>Table1123245678[[#This Row],[a/d]]*Table1123245678[[#This Row],[d]]</f>
        <v>240</v>
      </c>
      <c r="AC6" s="8">
        <f>Table1123245678[[#This Row],[d]]</f>
        <v>240</v>
      </c>
      <c r="AD6" s="8">
        <v>300</v>
      </c>
      <c r="AE6" s="5">
        <v>100</v>
      </c>
      <c r="AF6" s="15">
        <v>35.700000000000003</v>
      </c>
      <c r="AG6" s="8">
        <f>Table1123245678[[#This Row],[pho (%)]]/100*Table1123245678[[#This Row],[b (mm)]]*Table1123245678[[#This Row],[d (mm)]]</f>
        <v>77.52</v>
      </c>
      <c r="AH6" s="8">
        <v>0.32300000000000001</v>
      </c>
      <c r="AI6" s="8">
        <v>372</v>
      </c>
      <c r="AJ6" s="8">
        <f>(1/3-0.21*(MIN(Table1123245678[[#This Row],[b (mm)]],AD6)/MAX(Table1123245678[[#This Row],[b (mm)]],AD6))*(MIN(Table1123245678[[#This Row],[b (mm)]],AD6)^4/(12*MAX(Table1123245678[[#This Row],[b (mm)]],AD6)^4)))*MAX(Table1123245678[[#This Row],[b (mm)]],AD6)*MIN(Table1123245678[[#This Row],[b (mm)]],AD6)^3</f>
        <v>99978395.061728373</v>
      </c>
      <c r="AK6" s="8">
        <f>Table1123245678[[#This Row],[b (mm)]]*AD6^3/12</f>
        <v>225000000</v>
      </c>
      <c r="AL6" s="15">
        <v>990</v>
      </c>
      <c r="AM6" s="12" t="s">
        <v>12</v>
      </c>
      <c r="AN6" s="6">
        <f>AN5/(2*(1+0.15))</f>
        <v>11450.774071786596</v>
      </c>
    </row>
    <row r="7" spans="1:42" customFormat="1" ht="14.25" customHeight="1" x14ac:dyDescent="0.25">
      <c r="A7" s="68" t="s">
        <v>152</v>
      </c>
      <c r="B7" s="68">
        <v>3</v>
      </c>
      <c r="C7" s="15">
        <v>6</v>
      </c>
      <c r="D7" s="64">
        <v>1</v>
      </c>
      <c r="E7" s="15">
        <v>232.5</v>
      </c>
      <c r="F7" s="3">
        <v>240</v>
      </c>
      <c r="G7" s="8">
        <f t="shared" si="5"/>
        <v>55800</v>
      </c>
      <c r="H7" s="8">
        <f t="shared" si="6"/>
        <v>9.4164889011471235E-6</v>
      </c>
      <c r="I7" s="8">
        <f>G7/(Table1123245678[[#This Row],[b (mm)]]*AC7^2)</f>
        <v>9.6874999999999999E-3</v>
      </c>
      <c r="J7" s="8">
        <f t="shared" si="7"/>
        <v>8.0624355005159956</v>
      </c>
      <c r="K7" s="8">
        <f t="shared" si="8"/>
        <v>7.4060586731308062E-5</v>
      </c>
      <c r="L7" s="8">
        <f>E7/(Table1123245678[[#This Row],[b (mm)]]*AC7)</f>
        <v>9.6874999999999999E-3</v>
      </c>
      <c r="M7" s="8">
        <f>Table1123245678[[#This Row],[M (KN.mm)]]/(Table1123245678[[#This Row],[b (mm)]]*Table1123245678[[#This Row],[d (mm)]])</f>
        <v>2.3250000000000002</v>
      </c>
      <c r="N7" s="8">
        <f>Table1123245678[[#This Row],[M (KN.mm)]]/(Table1123245678[[#This Row],[b (mm)]]*Table1123245678[[#This Row],[h (mm)]])</f>
        <v>1.86</v>
      </c>
      <c r="O7" s="8">
        <f>Table1123245678[[#This Row],[M (KN.mm)]]/(Table1123245678[[#This Row],[b (mm)]]*Table1123245678[[#This Row],[h (mm)]]*Table1123245678[[#This Row],[L(mm)]])</f>
        <v>1.8787878787878789E-3</v>
      </c>
      <c r="P7" s="8">
        <f>Table1123245678[[#This Row],[M (KN.mm)]]/(Table1123245678[[#This Row],[b (mm)]]*Table1123245678[[#This Row],[d (mm)]]*Table1123245678[[#This Row],[L(mm)]])</f>
        <v>2.3484848484848484E-3</v>
      </c>
      <c r="Q7" s="8">
        <f>Table1123245678[[#This Row],[M (KN.mm)]]/(Table1123245678[[#This Row],[b (mm)]]*Table1123245678[[#This Row],[h (mm)]]*Table1123245678[[#This Row],[L(mm)]]*Table1123245678[[#This Row],[fc (Mpa)]])</f>
        <v>5.2627111450640854E-5</v>
      </c>
      <c r="R7" s="8">
        <f>Table1123245678[[#This Row],[M (KN.mm)]]/(Table1123245678[[#This Row],[b (mm)]]*Table1123245678[[#This Row],[h (mm)]]*Table1123245678[[#This Row],[L(mm)]]/2)</f>
        <v>3.7575757575757577E-3</v>
      </c>
      <c r="S7" s="8">
        <f>Table1123245678[[#This Row],[M (KN.mm)]]/(Table1123245678[[#This Row],[a (mm)]]*Table1123245678[[#This Row],[b (mm)]]*Table1123245678[[#This Row],[h (mm)]]*Table1123245678[[#This Row],[L(mm)]]/2)</f>
        <v>1.5656565656565655E-5</v>
      </c>
      <c r="T7" s="8">
        <f>G7/($AN$5*AK7*0.001*Table1123245678[[#This Row],[pho (%)]])</f>
        <v>2.9153216412220196E-5</v>
      </c>
      <c r="U7" s="8">
        <f>Table1123245678[[#This Row],[M (KN.mm)]]/(Table1123245678[[#This Row],[b (mm)]]*Table1123245678[[#This Row],[d (mm)]]*Table1123245678[[#This Row],[pho (%)]])</f>
        <v>7.1981424148606807</v>
      </c>
      <c r="V7" s="8">
        <f>E7*224.8/(2*SQRT(Table1123245678[[#This Row],[fc (Mpa)]]*145.037)*Table1123245678[[#This Row],[b (mm)]]*Table1123245678[[#This Row],[d (mm)]]*(1/25.4)^2)</f>
        <v>9.7627450467611858</v>
      </c>
      <c r="W7" s="8">
        <f>Table1123245678[[#This Row],[M (KN.mm)]]/$G$7</f>
        <v>1</v>
      </c>
      <c r="X7" s="8">
        <f>E7*224.8/(2*SQRT(Table1123245678[[#This Row],[fc (Mpa)]]*145.037)*Table1123245678[[#This Row],[b (mm)]]*Table1123245678[[#This Row],[d (mm)]]*(1/25.4)^2+Table1123245678[[#This Row],[Av fy d/s (N)]]*0.2248)</f>
        <v>0.29733877996112551</v>
      </c>
      <c r="Y7" s="8">
        <f t="shared" si="4"/>
        <v>31.58838857142857</v>
      </c>
      <c r="Z7" s="8">
        <f>Table1123245678[[#This Row],[Av fy/(b S) (Mpa)]]*Table1123245678[[#This Row],[d (mm)]]*Table1123245678[[#This Row],[b (mm)]]</f>
        <v>758121.3257142856</v>
      </c>
      <c r="AA7" s="8">
        <f>Table1123245678[[#This Row],[d (mm)]]/70</f>
        <v>3.4285714285714284</v>
      </c>
      <c r="AB7" s="8">
        <f>Table1123245678[[#This Row],[a/d]]*Table1123245678[[#This Row],[d]]</f>
        <v>240</v>
      </c>
      <c r="AC7" s="8">
        <f>Table1123245678[[#This Row],[d]]</f>
        <v>240</v>
      </c>
      <c r="AD7" s="8">
        <v>300</v>
      </c>
      <c r="AE7" s="5">
        <v>100</v>
      </c>
      <c r="AF7" s="15">
        <v>35.700000000000003</v>
      </c>
      <c r="AG7" s="8">
        <f>Table1123245678[[#This Row],[pho (%)]]/100*Table1123245678[[#This Row],[b (mm)]]*Table1123245678[[#This Row],[d (mm)]]</f>
        <v>77.52</v>
      </c>
      <c r="AH7" s="8">
        <v>0.32300000000000001</v>
      </c>
      <c r="AI7" s="8">
        <v>372</v>
      </c>
      <c r="AJ7" s="8">
        <f>(1/3-0.21*(MIN(Table1123245678[[#This Row],[b (mm)]],AD7)/MAX(Table1123245678[[#This Row],[b (mm)]],AD7))*(MIN(Table1123245678[[#This Row],[b (mm)]],AD7)^4/(12*MAX(Table1123245678[[#This Row],[b (mm)]],AD7)^4)))*MAX(Table1123245678[[#This Row],[b (mm)]],AD7)*MIN(Table1123245678[[#This Row],[b (mm)]],AD7)^3</f>
        <v>99978395.061728373</v>
      </c>
      <c r="AK7" s="8">
        <f>Table1123245678[[#This Row],[b (mm)]]*AD7^3/12</f>
        <v>225000000</v>
      </c>
      <c r="AL7" s="15">
        <v>990</v>
      </c>
    </row>
    <row r="8" spans="1:42" customFormat="1" x14ac:dyDescent="0.25">
      <c r="A8" s="56" t="s">
        <v>153</v>
      </c>
      <c r="B8" s="15">
        <v>1</v>
      </c>
      <c r="C8" s="3">
        <v>7</v>
      </c>
      <c r="D8" s="15">
        <v>1.5</v>
      </c>
      <c r="E8" s="15">
        <v>40</v>
      </c>
      <c r="F8" s="3">
        <v>240</v>
      </c>
      <c r="G8" s="8">
        <f t="shared" si="5"/>
        <v>14400</v>
      </c>
      <c r="H8" s="8">
        <f t="shared" si="6"/>
        <v>2.4300616519089351E-6</v>
      </c>
      <c r="I8" s="8">
        <f>G8/(Table1123245678[[#This Row],[b (mm)]]*AC8^2)</f>
        <v>2.5000000000000001E-3</v>
      </c>
      <c r="J8" s="8">
        <f t="shared" si="7"/>
        <v>2.0806285162621925</v>
      </c>
      <c r="K8" s="8">
        <f t="shared" si="8"/>
        <v>1.2741606319364828E-5</v>
      </c>
      <c r="L8" s="8">
        <f>E8/(Table1123245678[[#This Row],[b (mm)]]*AC8)</f>
        <v>1.6666666666666668E-3</v>
      </c>
      <c r="M8" s="8">
        <f>Table1123245678[[#This Row],[M (KN.mm)]]/(Table1123245678[[#This Row],[b (mm)]]*Table1123245678[[#This Row],[d (mm)]])</f>
        <v>0.6</v>
      </c>
      <c r="N8" s="8">
        <f>Table1123245678[[#This Row],[M (KN.mm)]]/(Table1123245678[[#This Row],[b (mm)]]*Table1123245678[[#This Row],[h (mm)]])</f>
        <v>0.48</v>
      </c>
      <c r="O8" s="8">
        <f>Table1123245678[[#This Row],[M (KN.mm)]]/(Table1123245678[[#This Row],[b (mm)]]*Table1123245678[[#This Row],[h (mm)]]*Table1123245678[[#This Row],[L(mm)]])</f>
        <v>3.9024390243902441E-4</v>
      </c>
      <c r="P8" s="8">
        <f>Table1123245678[[#This Row],[M (KN.mm)]]/(Table1123245678[[#This Row],[b (mm)]]*Table1123245678[[#This Row],[d (mm)]]*Table1123245678[[#This Row],[L(mm)]])</f>
        <v>4.8780487804878049E-4</v>
      </c>
      <c r="Q8" s="8">
        <f>Table1123245678[[#This Row],[M (KN.mm)]]/(Table1123245678[[#This Row],[b (mm)]]*Table1123245678[[#This Row],[h (mm)]]*Table1123245678[[#This Row],[L(mm)]]*Table1123245678[[#This Row],[fc (Mpa)]])</f>
        <v>1.7578554163920017E-5</v>
      </c>
      <c r="R8" s="8">
        <f>Table1123245678[[#This Row],[M (KN.mm)]]/(Table1123245678[[#This Row],[b (mm)]]*Table1123245678[[#This Row],[h (mm)]]*Table1123245678[[#This Row],[L(mm)]]/2)</f>
        <v>7.8048780487804882E-4</v>
      </c>
      <c r="S8" s="8">
        <f>Table1123245678[[#This Row],[M (KN.mm)]]/(Table1123245678[[#This Row],[a (mm)]]*Table1123245678[[#This Row],[b (mm)]]*Table1123245678[[#This Row],[h (mm)]]*Table1123245678[[#This Row],[L(mm)]]/2)</f>
        <v>2.168021680216802E-6</v>
      </c>
      <c r="T8" s="8">
        <f>G8/($AN$5*AK8*0.001*Table1123245678[[#This Row],[pho (%)]])</f>
        <v>7.5234106870245667E-6</v>
      </c>
      <c r="U8" s="8">
        <f>Table1123245678[[#This Row],[M (KN.mm)]]/(Table1123245678[[#This Row],[b (mm)]]*Table1123245678[[#This Row],[d (mm)]]*Table1123245678[[#This Row],[pho (%)]])</f>
        <v>1.8575851393188854</v>
      </c>
      <c r="V8" s="8">
        <f>E8*224.8/(2*SQRT(Table1123245678[[#This Row],[fc (Mpa)]]*145.037)*Table1123245678[[#This Row],[b (mm)]]*Table1123245678[[#This Row],[d (mm)]]*(1/25.4)^2)</f>
        <v>2.129936239383603</v>
      </c>
      <c r="W8" s="8">
        <f>Table1123245678[[#This Row],[M (KN.mm)]]/$G$10</f>
        <v>0.29197080291970801</v>
      </c>
      <c r="X8" s="8">
        <f>E8*224.8/(2*SQRT(Table1123245678[[#This Row],[fc (Mpa)]]*145.037)*Table1123245678[[#This Row],[b (mm)]]*Table1123245678[[#This Row],[d (mm)]]*(1/25.4)^2+Table1123245678[[#This Row],[Av fy d/s (N)]]*0.2248)</f>
        <v>5.1486596267615974E-2</v>
      </c>
      <c r="Y8" s="8">
        <f t="shared" si="4"/>
        <v>31.58838857142857</v>
      </c>
      <c r="Z8" s="8">
        <f>Table1123245678[[#This Row],[Av fy/(b S) (Mpa)]]*Table1123245678[[#This Row],[d (mm)]]*Table1123245678[[#This Row],[b (mm)]]</f>
        <v>758121.3257142856</v>
      </c>
      <c r="AA8" s="8">
        <f>Table1123245678[[#This Row],[d (mm)]]/70</f>
        <v>3.4285714285714284</v>
      </c>
      <c r="AB8" s="8">
        <f>Table1123245678[[#This Row],[a/d]]*Table1123245678[[#This Row],[d]]</f>
        <v>360</v>
      </c>
      <c r="AC8" s="8">
        <f>Table1123245678[[#This Row],[d]]</f>
        <v>240</v>
      </c>
      <c r="AD8" s="8">
        <v>300</v>
      </c>
      <c r="AE8" s="5">
        <v>100</v>
      </c>
      <c r="AF8" s="15">
        <v>22.2</v>
      </c>
      <c r="AG8" s="8">
        <f>Table1123245678[[#This Row],[pho (%)]]/100*Table1123245678[[#This Row],[b (mm)]]*Table1123245678[[#This Row],[d (mm)]]</f>
        <v>77.52</v>
      </c>
      <c r="AH8" s="8">
        <v>0.32300000000000001</v>
      </c>
      <c r="AI8" s="8">
        <v>372</v>
      </c>
      <c r="AJ8" s="8">
        <f>(1/3-0.21*(MIN(Table1123245678[[#This Row],[b (mm)]],AD8)/MAX(Table1123245678[[#This Row],[b (mm)]],AD8))*(MIN(Table1123245678[[#This Row],[b (mm)]],AD8)^4/(12*MAX(Table1123245678[[#This Row],[b (mm)]],AD8)^4)))*MAX(Table1123245678[[#This Row],[b (mm)]],AD8)*MIN(Table1123245678[[#This Row],[b (mm)]],AD8)^3</f>
        <v>99978395.061728373</v>
      </c>
      <c r="AK8" s="8">
        <f>Table1123245678[[#This Row],[b (mm)]]*AD8^3/12</f>
        <v>225000000</v>
      </c>
      <c r="AL8" s="15">
        <v>1230</v>
      </c>
    </row>
    <row r="9" spans="1:42" x14ac:dyDescent="0.25">
      <c r="A9" s="56" t="s">
        <v>153</v>
      </c>
      <c r="B9" s="15">
        <v>2</v>
      </c>
      <c r="C9" s="15">
        <v>8</v>
      </c>
      <c r="D9" s="15">
        <v>1.5</v>
      </c>
      <c r="E9" s="15">
        <v>75</v>
      </c>
      <c r="F9" s="3">
        <v>240</v>
      </c>
      <c r="G9" s="8">
        <f t="shared" si="5"/>
        <v>27000</v>
      </c>
      <c r="H9" s="8">
        <f t="shared" si="6"/>
        <v>4.5563655973292533E-6</v>
      </c>
      <c r="I9" s="8">
        <f>G9/(Table1123245678[[#This Row],[b (mm)]]*AC9^2)</f>
        <v>4.6874999999999998E-3</v>
      </c>
      <c r="J9" s="8">
        <f t="shared" si="7"/>
        <v>3.9011784679916111</v>
      </c>
      <c r="K9" s="8">
        <f t="shared" si="8"/>
        <v>2.3890511848809051E-5</v>
      </c>
      <c r="L9" s="8">
        <f>E9/(Table1123245678[[#This Row],[b (mm)]]*AC9)</f>
        <v>3.1250000000000002E-3</v>
      </c>
      <c r="M9" s="8">
        <f>Table1123245678[[#This Row],[M (KN.mm)]]/(Table1123245678[[#This Row],[b (mm)]]*Table1123245678[[#This Row],[d (mm)]])</f>
        <v>1.125</v>
      </c>
      <c r="N9" s="8">
        <f>Table1123245678[[#This Row],[M (KN.mm)]]/(Table1123245678[[#This Row],[b (mm)]]*Table1123245678[[#This Row],[h (mm)]])</f>
        <v>0.9</v>
      </c>
      <c r="O9" s="8">
        <f>Table1123245678[[#This Row],[M (KN.mm)]]/(Table1123245678[[#This Row],[b (mm)]]*Table1123245678[[#This Row],[h (mm)]]*Table1123245678[[#This Row],[L(mm)]])</f>
        <v>7.3170731707317073E-4</v>
      </c>
      <c r="P9" s="8">
        <f>Table1123245678[[#This Row],[M (KN.mm)]]/(Table1123245678[[#This Row],[b (mm)]]*Table1123245678[[#This Row],[d (mm)]]*Table1123245678[[#This Row],[L(mm)]])</f>
        <v>9.1463414634146347E-4</v>
      </c>
      <c r="Q9" s="8">
        <f>Table1123245678[[#This Row],[M (KN.mm)]]/(Table1123245678[[#This Row],[b (mm)]]*Table1123245678[[#This Row],[h (mm)]]*Table1123245678[[#This Row],[L(mm)]]*Table1123245678[[#This Row],[fc (Mpa)]])</f>
        <v>3.2959789057350032E-5</v>
      </c>
      <c r="R9" s="8">
        <f>Table1123245678[[#This Row],[M (KN.mm)]]/(Table1123245678[[#This Row],[b (mm)]]*Table1123245678[[#This Row],[h (mm)]]*Table1123245678[[#This Row],[L(mm)]]/2)</f>
        <v>1.4634146341463415E-3</v>
      </c>
      <c r="S9" s="8">
        <f>Table1123245678[[#This Row],[M (KN.mm)]]/(Table1123245678[[#This Row],[a (mm)]]*Table1123245678[[#This Row],[b (mm)]]*Table1123245678[[#This Row],[h (mm)]]*Table1123245678[[#This Row],[L(mm)]]/2)</f>
        <v>4.0650406504065037E-6</v>
      </c>
      <c r="T9" s="8">
        <f>G9/($AN$5*AK9*0.001*Table1123245678[[#This Row],[pho (%)]])</f>
        <v>1.4106395038171063E-5</v>
      </c>
      <c r="U9" s="8">
        <f>Table1123245678[[#This Row],[M (KN.mm)]]/(Table1123245678[[#This Row],[b (mm)]]*Table1123245678[[#This Row],[d (mm)]]*Table1123245678[[#This Row],[pho (%)]])</f>
        <v>3.48297213622291</v>
      </c>
      <c r="V9" s="8">
        <f>E9*224.8/(2*SQRT(Table1123245678[[#This Row],[fc (Mpa)]]*145.037)*Table1123245678[[#This Row],[b (mm)]]*Table1123245678[[#This Row],[d (mm)]]*(1/25.4)^2)</f>
        <v>3.9936304488442556</v>
      </c>
      <c r="W9" s="8">
        <f>Table1123245678[[#This Row],[M (KN.mm)]]/$G$10</f>
        <v>0.54744525547445255</v>
      </c>
      <c r="X9" s="8">
        <f>E9*224.8/(2*SQRT(Table1123245678[[#This Row],[fc (Mpa)]]*145.037)*Table1123245678[[#This Row],[b (mm)]]*Table1123245678[[#This Row],[d (mm)]]*(1/25.4)^2+Table1123245678[[#This Row],[Av fy d/s (N)]]*0.2248)</f>
        <v>9.653736800177995E-2</v>
      </c>
      <c r="Y9" s="8">
        <f t="shared" si="4"/>
        <v>31.58838857142857</v>
      </c>
      <c r="Z9" s="8">
        <f>Table1123245678[[#This Row],[Av fy/(b S) (Mpa)]]*Table1123245678[[#This Row],[d (mm)]]*Table1123245678[[#This Row],[b (mm)]]</f>
        <v>758121.3257142856</v>
      </c>
      <c r="AA9" s="8">
        <f>Table1123245678[[#This Row],[d (mm)]]/70</f>
        <v>3.4285714285714284</v>
      </c>
      <c r="AB9" s="8">
        <f>Table1123245678[[#This Row],[a/d]]*Table1123245678[[#This Row],[d]]</f>
        <v>360</v>
      </c>
      <c r="AC9" s="8">
        <f>Table1123245678[[#This Row],[d]]</f>
        <v>240</v>
      </c>
      <c r="AD9" s="8">
        <v>300</v>
      </c>
      <c r="AE9" s="5">
        <v>100</v>
      </c>
      <c r="AF9" s="15">
        <v>22.2</v>
      </c>
      <c r="AG9" s="8">
        <f>Table1123245678[[#This Row],[pho (%)]]/100*Table1123245678[[#This Row],[b (mm)]]*Table1123245678[[#This Row],[d (mm)]]</f>
        <v>77.52</v>
      </c>
      <c r="AH9" s="8">
        <v>0.32300000000000001</v>
      </c>
      <c r="AI9" s="8">
        <v>372</v>
      </c>
      <c r="AJ9" s="8">
        <f>(1/3-0.21*(MIN(Table1123245678[[#This Row],[b (mm)]],AD9)/MAX(Table1123245678[[#This Row],[b (mm)]],AD9))*(MIN(Table1123245678[[#This Row],[b (mm)]],AD9)^4/(12*MAX(Table1123245678[[#This Row],[b (mm)]],AD9)^4)))*MAX(Table1123245678[[#This Row],[b (mm)]],AD9)*MIN(Table1123245678[[#This Row],[b (mm)]],AD9)^3</f>
        <v>99978395.061728373</v>
      </c>
      <c r="AK9" s="8">
        <f>Table1123245678[[#This Row],[b (mm)]]*AD9^3/12</f>
        <v>225000000</v>
      </c>
      <c r="AL9" s="15">
        <v>1230</v>
      </c>
      <c r="AM9" s="12"/>
      <c r="AN9" s="6"/>
    </row>
    <row r="10" spans="1:42" x14ac:dyDescent="0.25">
      <c r="A10" s="56" t="s">
        <v>153</v>
      </c>
      <c r="B10" s="15">
        <v>3</v>
      </c>
      <c r="C10" s="3">
        <v>9</v>
      </c>
      <c r="D10" s="15">
        <v>1.5</v>
      </c>
      <c r="E10" s="15">
        <v>137</v>
      </c>
      <c r="F10" s="3">
        <v>240</v>
      </c>
      <c r="G10" s="8">
        <f t="shared" si="5"/>
        <v>49320</v>
      </c>
      <c r="H10" s="8">
        <f t="shared" si="6"/>
        <v>8.3229611577881025E-6</v>
      </c>
      <c r="I10" s="8">
        <f>G10/(Table1123245678[[#This Row],[b (mm)]]*AC10^2)</f>
        <v>8.5625000000000007E-3</v>
      </c>
      <c r="J10" s="8">
        <f t="shared" si="7"/>
        <v>7.1261526681980092</v>
      </c>
      <c r="K10" s="8">
        <f t="shared" si="8"/>
        <v>4.3640001643824537E-5</v>
      </c>
      <c r="L10" s="8">
        <f>E10/(Table1123245678[[#This Row],[b (mm)]]*AC10)</f>
        <v>5.7083333333333335E-3</v>
      </c>
      <c r="M10" s="8">
        <f>Table1123245678[[#This Row],[M (KN.mm)]]/(Table1123245678[[#This Row],[b (mm)]]*Table1123245678[[#This Row],[d (mm)]])</f>
        <v>2.0550000000000002</v>
      </c>
      <c r="N10" s="8">
        <f>Table1123245678[[#This Row],[M (KN.mm)]]/(Table1123245678[[#This Row],[b (mm)]]*Table1123245678[[#This Row],[h (mm)]])</f>
        <v>1.6439999999999999</v>
      </c>
      <c r="O10" s="8">
        <f>Table1123245678[[#This Row],[M (KN.mm)]]/(Table1123245678[[#This Row],[b (mm)]]*Table1123245678[[#This Row],[h (mm)]]*Table1123245678[[#This Row],[L(mm)]])</f>
        <v>1.3365853658536585E-3</v>
      </c>
      <c r="P10" s="8">
        <f>Table1123245678[[#This Row],[M (KN.mm)]]/(Table1123245678[[#This Row],[b (mm)]]*Table1123245678[[#This Row],[d (mm)]]*Table1123245678[[#This Row],[L(mm)]])</f>
        <v>1.6707317073170731E-3</v>
      </c>
      <c r="Q10" s="8">
        <f>Table1123245678[[#This Row],[M (KN.mm)]]/(Table1123245678[[#This Row],[b (mm)]]*Table1123245678[[#This Row],[h (mm)]]*Table1123245678[[#This Row],[L(mm)]]*Table1123245678[[#This Row],[fc (Mpa)]])</f>
        <v>6.0206548011426059E-5</v>
      </c>
      <c r="R10" s="8">
        <f>Table1123245678[[#This Row],[M (KN.mm)]]/(Table1123245678[[#This Row],[b (mm)]]*Table1123245678[[#This Row],[h (mm)]]*Table1123245678[[#This Row],[L(mm)]]/2)</f>
        <v>2.673170731707317E-3</v>
      </c>
      <c r="S10" s="8">
        <f>Table1123245678[[#This Row],[M (KN.mm)]]/(Table1123245678[[#This Row],[a (mm)]]*Table1123245678[[#This Row],[b (mm)]]*Table1123245678[[#This Row],[h (mm)]]*Table1123245678[[#This Row],[L(mm)]]/2)</f>
        <v>7.4254742547425475E-6</v>
      </c>
      <c r="T10" s="8">
        <f>G10/($AN$5*AK10*0.001*Table1123245678[[#This Row],[pho (%)]])</f>
        <v>2.5767681603059139E-5</v>
      </c>
      <c r="U10" s="8">
        <f>Table1123245678[[#This Row],[M (KN.mm)]]/(Table1123245678[[#This Row],[b (mm)]]*Table1123245678[[#This Row],[d (mm)]]*Table1123245678[[#This Row],[pho (%)]])</f>
        <v>6.3622291021671824</v>
      </c>
      <c r="V10" s="8">
        <f>E10*224.8/(2*SQRT(Table1123245678[[#This Row],[fc (Mpa)]]*145.037)*Table1123245678[[#This Row],[b (mm)]]*Table1123245678[[#This Row],[d (mm)]]*(1/25.4)^2)</f>
        <v>7.2950316198888405</v>
      </c>
      <c r="W10" s="8">
        <f>Table1123245678[[#This Row],[M (KN.mm)]]/$G$10</f>
        <v>1</v>
      </c>
      <c r="X10" s="8">
        <f>E10*224.8/(2*SQRT(Table1123245678[[#This Row],[fc (Mpa)]]*145.037)*Table1123245678[[#This Row],[b (mm)]]*Table1123245678[[#This Row],[d (mm)]]*(1/25.4)^2+Table1123245678[[#This Row],[Av fy d/s (N)]]*0.2248)</f>
        <v>0.17634159221658471</v>
      </c>
      <c r="Y10" s="8">
        <f t="shared" si="4"/>
        <v>31.58838857142857</v>
      </c>
      <c r="Z10" s="8">
        <f>Table1123245678[[#This Row],[Av fy/(b S) (Mpa)]]*Table1123245678[[#This Row],[d (mm)]]*Table1123245678[[#This Row],[b (mm)]]</f>
        <v>758121.3257142856</v>
      </c>
      <c r="AA10" s="8">
        <f>Table1123245678[[#This Row],[d (mm)]]/70</f>
        <v>3.4285714285714284</v>
      </c>
      <c r="AB10" s="8">
        <f>Table1123245678[[#This Row],[a/d]]*Table1123245678[[#This Row],[d]]</f>
        <v>360</v>
      </c>
      <c r="AC10" s="8">
        <f>Table1123245678[[#This Row],[d]]</f>
        <v>240</v>
      </c>
      <c r="AD10" s="8">
        <v>300</v>
      </c>
      <c r="AE10" s="5">
        <v>100</v>
      </c>
      <c r="AF10" s="15">
        <v>22.2</v>
      </c>
      <c r="AG10" s="8">
        <f>Table1123245678[[#This Row],[pho (%)]]/100*Table1123245678[[#This Row],[b (mm)]]*Table1123245678[[#This Row],[d (mm)]]</f>
        <v>77.52</v>
      </c>
      <c r="AH10" s="8">
        <v>0.32300000000000001</v>
      </c>
      <c r="AI10" s="8">
        <v>372</v>
      </c>
      <c r="AJ10" s="8">
        <f>(1/3-0.21*(MIN(Table1123245678[[#This Row],[b (mm)]],AD10)/MAX(Table1123245678[[#This Row],[b (mm)]],AD10))*(MIN(Table1123245678[[#This Row],[b (mm)]],AD10)^4/(12*MAX(Table1123245678[[#This Row],[b (mm)]],AD10)^4)))*MAX(Table1123245678[[#This Row],[b (mm)]],AD10)*MIN(Table1123245678[[#This Row],[b (mm)]],AD10)^3</f>
        <v>99978395.061728373</v>
      </c>
      <c r="AK10" s="8">
        <f>Table1123245678[[#This Row],[b (mm)]]*AD10^3/12</f>
        <v>225000000</v>
      </c>
      <c r="AL10" s="15">
        <v>1230</v>
      </c>
      <c r="AM10" s="12"/>
      <c r="AN10" s="6"/>
    </row>
    <row r="11" spans="1:42" x14ac:dyDescent="0.25">
      <c r="A11" s="24" t="s">
        <v>154</v>
      </c>
      <c r="B11" s="15">
        <v>1</v>
      </c>
      <c r="C11" s="15">
        <v>10</v>
      </c>
      <c r="D11" s="15">
        <v>2</v>
      </c>
      <c r="E11" s="15">
        <v>35</v>
      </c>
      <c r="F11" s="3">
        <v>240</v>
      </c>
      <c r="G11" s="8">
        <f t="shared" si="5"/>
        <v>16800</v>
      </c>
      <c r="H11" s="8">
        <f t="shared" si="6"/>
        <v>2.8350719272270909E-6</v>
      </c>
      <c r="I11" s="8">
        <f>G11/(Table1123245678[[#This Row],[b (mm)]]*AC11^2)</f>
        <v>2.9166666666666668E-3</v>
      </c>
      <c r="J11" s="8">
        <f t="shared" si="7"/>
        <v>2.4273999356392246</v>
      </c>
      <c r="K11" s="8">
        <f t="shared" si="8"/>
        <v>1.1148905529444223E-5</v>
      </c>
      <c r="L11" s="8">
        <f>E11/(Table1123245678[[#This Row],[b (mm)]]*AC11)</f>
        <v>1.4583333333333334E-3</v>
      </c>
      <c r="M11" s="8">
        <f>Table1123245678[[#This Row],[M (KN.mm)]]/(Table1123245678[[#This Row],[b (mm)]]*Table1123245678[[#This Row],[d (mm)]])</f>
        <v>0.7</v>
      </c>
      <c r="N11" s="8">
        <f>Table1123245678[[#This Row],[M (KN.mm)]]/(Table1123245678[[#This Row],[b (mm)]]*Table1123245678[[#This Row],[h (mm)]])</f>
        <v>0.56000000000000005</v>
      </c>
      <c r="O11" s="8">
        <f>Table1123245678[[#This Row],[M (KN.mm)]]/(Table1123245678[[#This Row],[b (mm)]]*Table1123245678[[#This Row],[h (mm)]]*Table1123245678[[#This Row],[L(mm)]])</f>
        <v>3.8095238095238096E-4</v>
      </c>
      <c r="P11" s="8">
        <f>Table1123245678[[#This Row],[M (KN.mm)]]/(Table1123245678[[#This Row],[b (mm)]]*Table1123245678[[#This Row],[d (mm)]]*Table1123245678[[#This Row],[L(mm)]])</f>
        <v>4.7619047619047619E-4</v>
      </c>
      <c r="Q11" s="8">
        <f>Table1123245678[[#This Row],[M (KN.mm)]]/(Table1123245678[[#This Row],[b (mm)]]*Table1123245678[[#This Row],[h (mm)]]*Table1123245678[[#This Row],[L(mm)]]*Table1123245678[[#This Row],[fc (Mpa)]])</f>
        <v>1.716001716001716E-5</v>
      </c>
      <c r="R11" s="8">
        <f>Table1123245678[[#This Row],[M (KN.mm)]]/(Table1123245678[[#This Row],[b (mm)]]*Table1123245678[[#This Row],[h (mm)]]*Table1123245678[[#This Row],[L(mm)]]/2)</f>
        <v>7.6190476190476193E-4</v>
      </c>
      <c r="S11" s="8">
        <f>Table1123245678[[#This Row],[M (KN.mm)]]/(Table1123245678[[#This Row],[a (mm)]]*Table1123245678[[#This Row],[b (mm)]]*Table1123245678[[#This Row],[h (mm)]]*Table1123245678[[#This Row],[L(mm)]]/2)</f>
        <v>1.5873015873015873E-6</v>
      </c>
      <c r="T11" s="8">
        <f>G11/($AN$5*AK11*0.001*Table1123245678[[#This Row],[pho (%)]])</f>
        <v>8.7773124681953281E-6</v>
      </c>
      <c r="U11" s="8">
        <f>Table1123245678[[#This Row],[M (KN.mm)]]/(Table1123245678[[#This Row],[b (mm)]]*Table1123245678[[#This Row],[d (mm)]]*Table1123245678[[#This Row],[pho (%)]])</f>
        <v>2.1671826625386998</v>
      </c>
      <c r="V11" s="8">
        <f>E11*224.8/(2*SQRT(Table1123245678[[#This Row],[fc (Mpa)]]*145.037)*Table1123245678[[#This Row],[b (mm)]]*Table1123245678[[#This Row],[d (mm)]]*(1/25.4)^2)</f>
        <v>1.8636942094606526</v>
      </c>
      <c r="W11" s="8">
        <f>Table1123245678[[#This Row],[M (KN.mm)]]/$G$13</f>
        <v>0.31674208144796379</v>
      </c>
      <c r="X11" s="8">
        <f>E11*224.8/(2*SQRT(Table1123245678[[#This Row],[fc (Mpa)]]*145.037)*Table1123245678[[#This Row],[b (mm)]]*Table1123245678[[#This Row],[d (mm)]]*(1/25.4)^2+Table1123245678[[#This Row],[Av fy d/s (N)]]*0.2248)</f>
        <v>4.5050771734163976E-2</v>
      </c>
      <c r="Y11" s="8">
        <f t="shared" si="4"/>
        <v>31.58838857142857</v>
      </c>
      <c r="Z11" s="8">
        <f>Table1123245678[[#This Row],[Av fy/(b S) (Mpa)]]*Table1123245678[[#This Row],[d (mm)]]*Table1123245678[[#This Row],[b (mm)]]</f>
        <v>758121.3257142856</v>
      </c>
      <c r="AA11" s="8">
        <f>Table1123245678[[#This Row],[d (mm)]]/70</f>
        <v>3.4285714285714284</v>
      </c>
      <c r="AB11" s="8">
        <f>Table1123245678[[#This Row],[a/d]]*Table1123245678[[#This Row],[d]]</f>
        <v>480</v>
      </c>
      <c r="AC11" s="8">
        <f>Table1123245678[[#This Row],[d]]</f>
        <v>240</v>
      </c>
      <c r="AD11" s="8">
        <v>300</v>
      </c>
      <c r="AE11" s="5">
        <v>100</v>
      </c>
      <c r="AF11" s="15">
        <v>22.2</v>
      </c>
      <c r="AG11" s="8">
        <f>Table1123245678[[#This Row],[pho (%)]]/100*Table1123245678[[#This Row],[b (mm)]]*Table1123245678[[#This Row],[d (mm)]]</f>
        <v>77.52</v>
      </c>
      <c r="AH11" s="8">
        <v>0.32300000000000001</v>
      </c>
      <c r="AI11" s="8">
        <v>372</v>
      </c>
      <c r="AJ11" s="8">
        <f>(1/3-0.21*(MIN(Table1123245678[[#This Row],[b (mm)]],AD11)/MAX(Table1123245678[[#This Row],[b (mm)]],AD11))*(MIN(Table1123245678[[#This Row],[b (mm)]],AD11)^4/(12*MAX(Table1123245678[[#This Row],[b (mm)]],AD11)^4)))*MAX(Table1123245678[[#This Row],[b (mm)]],AD11)*MIN(Table1123245678[[#This Row],[b (mm)]],AD11)^3</f>
        <v>99978395.061728373</v>
      </c>
      <c r="AK11" s="8">
        <f>Table1123245678[[#This Row],[b (mm)]]*AD11^3/12</f>
        <v>225000000</v>
      </c>
      <c r="AL11" s="15">
        <v>1470</v>
      </c>
      <c r="AM11" s="12"/>
      <c r="AN11" s="6"/>
    </row>
    <row r="12" spans="1:42" x14ac:dyDescent="0.25">
      <c r="A12" s="24" t="s">
        <v>154</v>
      </c>
      <c r="B12" s="15">
        <v>2</v>
      </c>
      <c r="C12" s="3">
        <v>11</v>
      </c>
      <c r="D12" s="15">
        <v>2</v>
      </c>
      <c r="E12" s="15">
        <v>50</v>
      </c>
      <c r="F12" s="3">
        <v>240</v>
      </c>
      <c r="G12" s="8">
        <f t="shared" si="5"/>
        <v>24000</v>
      </c>
      <c r="H12" s="8">
        <f t="shared" si="6"/>
        <v>4.0501027531815587E-6</v>
      </c>
      <c r="I12" s="8">
        <f>G12/(Table1123245678[[#This Row],[b (mm)]]*AC12^2)</f>
        <v>4.1666666666666666E-3</v>
      </c>
      <c r="J12" s="8">
        <f t="shared" si="7"/>
        <v>3.4677141937703206</v>
      </c>
      <c r="K12" s="8">
        <f t="shared" si="8"/>
        <v>1.5927007899206034E-5</v>
      </c>
      <c r="L12" s="8">
        <f>E12/(Table1123245678[[#This Row],[b (mm)]]*AC12)</f>
        <v>2.0833333333333333E-3</v>
      </c>
      <c r="M12" s="8">
        <f>Table1123245678[[#This Row],[M (KN.mm)]]/(Table1123245678[[#This Row],[b (mm)]]*Table1123245678[[#This Row],[d (mm)]])</f>
        <v>1</v>
      </c>
      <c r="N12" s="8">
        <f>Table1123245678[[#This Row],[M (KN.mm)]]/(Table1123245678[[#This Row],[b (mm)]]*Table1123245678[[#This Row],[h (mm)]])</f>
        <v>0.8</v>
      </c>
      <c r="O12" s="8">
        <f>Table1123245678[[#This Row],[M (KN.mm)]]/(Table1123245678[[#This Row],[b (mm)]]*Table1123245678[[#This Row],[h (mm)]]*Table1123245678[[#This Row],[L(mm)]])</f>
        <v>5.4421768707482992E-4</v>
      </c>
      <c r="P12" s="8">
        <f>Table1123245678[[#This Row],[M (KN.mm)]]/(Table1123245678[[#This Row],[b (mm)]]*Table1123245678[[#This Row],[d (mm)]]*Table1123245678[[#This Row],[L(mm)]])</f>
        <v>6.8027210884353737E-4</v>
      </c>
      <c r="Q12" s="8">
        <f>Table1123245678[[#This Row],[M (KN.mm)]]/(Table1123245678[[#This Row],[b (mm)]]*Table1123245678[[#This Row],[h (mm)]]*Table1123245678[[#This Row],[L(mm)]]*Table1123245678[[#This Row],[fc (Mpa)]])</f>
        <v>2.4514310228595941E-5</v>
      </c>
      <c r="R12" s="8">
        <f>Table1123245678[[#This Row],[M (KN.mm)]]/(Table1123245678[[#This Row],[b (mm)]]*Table1123245678[[#This Row],[h (mm)]]*Table1123245678[[#This Row],[L(mm)]]/2)</f>
        <v>1.0884353741496598E-3</v>
      </c>
      <c r="S12" s="8">
        <f>Table1123245678[[#This Row],[M (KN.mm)]]/(Table1123245678[[#This Row],[a (mm)]]*Table1123245678[[#This Row],[b (mm)]]*Table1123245678[[#This Row],[h (mm)]]*Table1123245678[[#This Row],[L(mm)]]/2)</f>
        <v>2.2675736961451247E-6</v>
      </c>
      <c r="T12" s="8">
        <f>G12/($AN$5*AK12*0.001*Table1123245678[[#This Row],[pho (%)]])</f>
        <v>1.2539017811707611E-5</v>
      </c>
      <c r="U12" s="8">
        <f>Table1123245678[[#This Row],[M (KN.mm)]]/(Table1123245678[[#This Row],[b (mm)]]*Table1123245678[[#This Row],[d (mm)]]*Table1123245678[[#This Row],[pho (%)]])</f>
        <v>3.0959752321981426</v>
      </c>
      <c r="V12" s="8">
        <f>E12*224.8/(2*SQRT(Table1123245678[[#This Row],[fc (Mpa)]]*145.037)*Table1123245678[[#This Row],[b (mm)]]*Table1123245678[[#This Row],[d (mm)]]*(1/25.4)^2)</f>
        <v>2.6624202992295034</v>
      </c>
      <c r="W12" s="8">
        <f>Table1123245678[[#This Row],[M (KN.mm)]]/$G$13</f>
        <v>0.45248868778280543</v>
      </c>
      <c r="X12" s="8">
        <f>E12*224.8/(2*SQRT(Table1123245678[[#This Row],[fc (Mpa)]]*145.037)*Table1123245678[[#This Row],[b (mm)]]*Table1123245678[[#This Row],[d (mm)]]*(1/25.4)^2+Table1123245678[[#This Row],[Av fy d/s (N)]]*0.2248)</f>
        <v>6.4358245334519962E-2</v>
      </c>
      <c r="Y12" s="8">
        <f t="shared" si="4"/>
        <v>31.58838857142857</v>
      </c>
      <c r="Z12" s="8">
        <f>Table1123245678[[#This Row],[Av fy/(b S) (Mpa)]]*Table1123245678[[#This Row],[d (mm)]]*Table1123245678[[#This Row],[b (mm)]]</f>
        <v>758121.3257142856</v>
      </c>
      <c r="AA12" s="8">
        <f>Table1123245678[[#This Row],[d (mm)]]/70</f>
        <v>3.4285714285714284</v>
      </c>
      <c r="AB12" s="8">
        <f>Table1123245678[[#This Row],[a/d]]*Table1123245678[[#This Row],[d]]</f>
        <v>480</v>
      </c>
      <c r="AC12" s="8">
        <f>Table1123245678[[#This Row],[d]]</f>
        <v>240</v>
      </c>
      <c r="AD12" s="8">
        <v>300</v>
      </c>
      <c r="AE12" s="5">
        <v>100</v>
      </c>
      <c r="AF12" s="15">
        <v>22.2</v>
      </c>
      <c r="AG12" s="8">
        <f>Table1123245678[[#This Row],[pho (%)]]/100*Table1123245678[[#This Row],[b (mm)]]*Table1123245678[[#This Row],[d (mm)]]</f>
        <v>77.52</v>
      </c>
      <c r="AH12" s="8">
        <v>0.32300000000000001</v>
      </c>
      <c r="AI12" s="8">
        <v>372</v>
      </c>
      <c r="AJ12" s="8">
        <f>(1/3-0.21*(MIN(Table1123245678[[#This Row],[b (mm)]],AD12)/MAX(Table1123245678[[#This Row],[b (mm)]],AD12))*(MIN(Table1123245678[[#This Row],[b (mm)]],AD12)^4/(12*MAX(Table1123245678[[#This Row],[b (mm)]],AD12)^4)))*MAX(Table1123245678[[#This Row],[b (mm)]],AD12)*MIN(Table1123245678[[#This Row],[b (mm)]],AD12)^3</f>
        <v>99978395.061728373</v>
      </c>
      <c r="AK12" s="8">
        <f>Table1123245678[[#This Row],[b (mm)]]*AD12^3/12</f>
        <v>225000000</v>
      </c>
      <c r="AL12" s="15">
        <v>1470</v>
      </c>
      <c r="AM12" s="12"/>
      <c r="AN12" s="6"/>
    </row>
    <row r="13" spans="1:42" x14ac:dyDescent="0.25">
      <c r="A13" s="24" t="s">
        <v>154</v>
      </c>
      <c r="B13" s="15">
        <v>3</v>
      </c>
      <c r="C13" s="15">
        <v>12</v>
      </c>
      <c r="D13" s="15">
        <v>2</v>
      </c>
      <c r="E13" s="15">
        <v>110.5</v>
      </c>
      <c r="F13" s="3">
        <v>240</v>
      </c>
      <c r="G13" s="8">
        <f t="shared" si="5"/>
        <v>53040</v>
      </c>
      <c r="H13" s="8">
        <f t="shared" si="6"/>
        <v>8.9507270845312448E-6</v>
      </c>
      <c r="I13" s="8">
        <f>G13/(Table1123245678[[#This Row],[b (mm)]]*AC13^2)</f>
        <v>9.208333333333334E-3</v>
      </c>
      <c r="J13" s="8">
        <f t="shared" si="7"/>
        <v>7.6636483682324092</v>
      </c>
      <c r="K13" s="8">
        <f t="shared" si="8"/>
        <v>3.5198687457245336E-5</v>
      </c>
      <c r="L13" s="8">
        <f>E13/(Table1123245678[[#This Row],[b (mm)]]*AC13)</f>
        <v>4.604166666666667E-3</v>
      </c>
      <c r="M13" s="8">
        <f>Table1123245678[[#This Row],[M (KN.mm)]]/(Table1123245678[[#This Row],[b (mm)]]*Table1123245678[[#This Row],[d (mm)]])</f>
        <v>2.21</v>
      </c>
      <c r="N13" s="8">
        <f>Table1123245678[[#This Row],[M (KN.mm)]]/(Table1123245678[[#This Row],[b (mm)]]*Table1123245678[[#This Row],[h (mm)]])</f>
        <v>1.768</v>
      </c>
      <c r="O13" s="8">
        <f>Table1123245678[[#This Row],[M (KN.mm)]]/(Table1123245678[[#This Row],[b (mm)]]*Table1123245678[[#This Row],[h (mm)]]*Table1123245678[[#This Row],[L(mm)]])</f>
        <v>1.2027210884353742E-3</v>
      </c>
      <c r="P13" s="8">
        <f>Table1123245678[[#This Row],[M (KN.mm)]]/(Table1123245678[[#This Row],[b (mm)]]*Table1123245678[[#This Row],[d (mm)]]*Table1123245678[[#This Row],[L(mm)]])</f>
        <v>1.5034013605442177E-3</v>
      </c>
      <c r="Q13" s="8">
        <f>Table1123245678[[#This Row],[M (KN.mm)]]/(Table1123245678[[#This Row],[b (mm)]]*Table1123245678[[#This Row],[h (mm)]]*Table1123245678[[#This Row],[L(mm)]]*Table1123245678[[#This Row],[fc (Mpa)]])</f>
        <v>5.4176625605197032E-5</v>
      </c>
      <c r="R13" s="8">
        <f>Table1123245678[[#This Row],[M (KN.mm)]]/(Table1123245678[[#This Row],[b (mm)]]*Table1123245678[[#This Row],[h (mm)]]*Table1123245678[[#This Row],[L(mm)]]/2)</f>
        <v>2.4054421768707483E-3</v>
      </c>
      <c r="S13" s="8">
        <f>Table1123245678[[#This Row],[M (KN.mm)]]/(Table1123245678[[#This Row],[a (mm)]]*Table1123245678[[#This Row],[b (mm)]]*Table1123245678[[#This Row],[h (mm)]]*Table1123245678[[#This Row],[L(mm)]]/2)</f>
        <v>5.0113378684807254E-6</v>
      </c>
      <c r="T13" s="8">
        <f>G13/($AN$5*AK13*0.001*Table1123245678[[#This Row],[pho (%)]])</f>
        <v>2.771122936387382E-5</v>
      </c>
      <c r="U13" s="8">
        <f>Table1123245678[[#This Row],[M (KN.mm)]]/(Table1123245678[[#This Row],[b (mm)]]*Table1123245678[[#This Row],[d (mm)]]*Table1123245678[[#This Row],[pho (%)]])</f>
        <v>6.8421052631578947</v>
      </c>
      <c r="V13" s="8">
        <f>E13*224.8/(2*SQRT(Table1123245678[[#This Row],[fc (Mpa)]]*145.037)*Table1123245678[[#This Row],[b (mm)]]*Table1123245678[[#This Row],[d (mm)]]*(1/25.4)^2)</f>
        <v>5.8839488612972035</v>
      </c>
      <c r="W13" s="8">
        <f>Table1123245678[[#This Row],[M (KN.mm)]]/$G$13</f>
        <v>1</v>
      </c>
      <c r="X13" s="8">
        <f>E13*224.8/(2*SQRT(Table1123245678[[#This Row],[fc (Mpa)]]*145.037)*Table1123245678[[#This Row],[b (mm)]]*Table1123245678[[#This Row],[d (mm)]]*(1/25.4)^2+Table1123245678[[#This Row],[Av fy d/s (N)]]*0.2248)</f>
        <v>0.14223172218928912</v>
      </c>
      <c r="Y13" s="8">
        <f t="shared" si="4"/>
        <v>31.58838857142857</v>
      </c>
      <c r="Z13" s="8">
        <f>Table1123245678[[#This Row],[Av fy/(b S) (Mpa)]]*Table1123245678[[#This Row],[d (mm)]]*Table1123245678[[#This Row],[b (mm)]]</f>
        <v>758121.3257142856</v>
      </c>
      <c r="AA13" s="8">
        <f>Table1123245678[[#This Row],[d (mm)]]/70</f>
        <v>3.4285714285714284</v>
      </c>
      <c r="AB13" s="8">
        <f>Table1123245678[[#This Row],[a/d]]*Table1123245678[[#This Row],[d]]</f>
        <v>480</v>
      </c>
      <c r="AC13" s="8">
        <f>Table1123245678[[#This Row],[d]]</f>
        <v>240</v>
      </c>
      <c r="AD13" s="8">
        <v>300</v>
      </c>
      <c r="AE13" s="5">
        <v>100</v>
      </c>
      <c r="AF13" s="15">
        <v>22.2</v>
      </c>
      <c r="AG13" s="8">
        <f>Table1123245678[[#This Row],[pho (%)]]/100*Table1123245678[[#This Row],[b (mm)]]*Table1123245678[[#This Row],[d (mm)]]</f>
        <v>77.52</v>
      </c>
      <c r="AH13" s="8">
        <v>0.32300000000000001</v>
      </c>
      <c r="AI13" s="8">
        <v>372</v>
      </c>
      <c r="AJ13" s="8">
        <f>(1/3-0.21*(MIN(Table1123245678[[#This Row],[b (mm)]],AD13)/MAX(Table1123245678[[#This Row],[b (mm)]],AD13))*(MIN(Table1123245678[[#This Row],[b (mm)]],AD13)^4/(12*MAX(Table1123245678[[#This Row],[b (mm)]],AD13)^4)))*MAX(Table1123245678[[#This Row],[b (mm)]],AD13)*MIN(Table1123245678[[#This Row],[b (mm)]],AD13)^3</f>
        <v>99978395.061728373</v>
      </c>
      <c r="AK13" s="8">
        <f>Table1123245678[[#This Row],[b (mm)]]*AD13^3/12</f>
        <v>225000000</v>
      </c>
      <c r="AL13" s="15">
        <v>1470</v>
      </c>
      <c r="AM13" s="12"/>
      <c r="AN13" s="6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 s="12"/>
      <c r="AN14" s="6"/>
    </row>
    <row r="15" spans="1:42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 s="12"/>
      <c r="AN15" s="6"/>
    </row>
    <row r="16" spans="1:42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 s="12"/>
      <c r="AN16" s="6"/>
    </row>
    <row r="17" spans="1:42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 s="12"/>
      <c r="AN17" s="6"/>
    </row>
    <row r="18" spans="1:42" s="10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 s="12"/>
      <c r="AN18" s="9"/>
      <c r="AO18" s="12"/>
      <c r="AP18" s="1"/>
    </row>
    <row r="19" spans="1:42" s="10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 s="12"/>
      <c r="AN19" s="9"/>
      <c r="AO19" s="12"/>
      <c r="AP19" s="1"/>
    </row>
    <row r="20" spans="1:42" s="10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 s="12"/>
      <c r="AN20" s="9"/>
      <c r="AO20" s="12"/>
      <c r="AP20" s="1"/>
    </row>
    <row r="21" spans="1:42" s="10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 s="12"/>
      <c r="AN21" s="9"/>
      <c r="AO21" s="12"/>
      <c r="AP21" s="1"/>
    </row>
    <row r="22" spans="1:42" s="10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 s="12"/>
      <c r="AN22" s="12"/>
      <c r="AO22" s="12"/>
      <c r="AP22" s="1"/>
    </row>
    <row r="23" spans="1:42" s="10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 s="12"/>
      <c r="AN23" s="12"/>
      <c r="AO23" s="12"/>
      <c r="AP23" s="1"/>
    </row>
    <row r="24" spans="1:42" s="10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 s="12"/>
      <c r="AN24" s="12"/>
      <c r="AO24" s="12"/>
      <c r="AP24" s="1"/>
    </row>
    <row r="25" spans="1:42" s="10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 s="12"/>
      <c r="AN25" s="12"/>
      <c r="AO25" s="12"/>
      <c r="AP25" s="1"/>
    </row>
    <row r="26" spans="1:42" s="10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 s="12"/>
      <c r="AN26" s="12"/>
      <c r="AO26" s="12"/>
      <c r="AP26" s="1"/>
    </row>
    <row r="27" spans="1:42" s="10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 s="12"/>
      <c r="AN27" s="12"/>
      <c r="AO27" s="12"/>
      <c r="AP27" s="1"/>
    </row>
    <row r="28" spans="1:42" s="10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 s="12"/>
      <c r="AN28" s="12"/>
      <c r="AO28" s="12"/>
      <c r="AP28" s="1"/>
    </row>
    <row r="29" spans="1:42" s="10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 s="12"/>
      <c r="AN29" s="12"/>
      <c r="AO29" s="12"/>
      <c r="AP29" s="1"/>
    </row>
    <row r="30" spans="1:42" s="10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 s="12"/>
      <c r="AN30" s="12"/>
      <c r="AO30" s="12"/>
      <c r="AP30" s="1"/>
    </row>
    <row r="31" spans="1:4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42" s="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42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42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42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42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42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42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42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42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42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42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42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42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42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4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1"/>
      <c r="AN49" s="1"/>
    </row>
    <row r="50" spans="1:4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1"/>
      <c r="AN50" s="1"/>
    </row>
    <row r="51" spans="1:4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1"/>
      <c r="AN51" s="1"/>
    </row>
    <row r="52" spans="1:4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1"/>
      <c r="AN52" s="1"/>
    </row>
    <row r="53" spans="1:4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1"/>
      <c r="AN53" s="1"/>
    </row>
    <row r="54" spans="1:4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1"/>
      <c r="AN54" s="1"/>
    </row>
    <row r="55" spans="1:4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1"/>
      <c r="AN55" s="1"/>
    </row>
    <row r="56" spans="1:4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1"/>
      <c r="AN56" s="1"/>
    </row>
    <row r="57" spans="1:4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1"/>
      <c r="AN57" s="1"/>
    </row>
    <row r="58" spans="1:4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1"/>
      <c r="AN58" s="1"/>
    </row>
    <row r="59" spans="1:4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1"/>
      <c r="AN59" s="1"/>
    </row>
    <row r="60" spans="1:4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1"/>
      <c r="AN60" s="1"/>
    </row>
    <row r="61" spans="1:4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1"/>
      <c r="AN61" s="1"/>
    </row>
    <row r="62" spans="1:4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1"/>
      <c r="AN62" s="1"/>
    </row>
    <row r="63" spans="1:4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1"/>
      <c r="AN63" s="1"/>
      <c r="AQ63" s="1"/>
    </row>
    <row r="64" spans="1:4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1"/>
      <c r="AN64" s="1"/>
      <c r="AQ64" s="1"/>
    </row>
    <row r="65" spans="1:4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"/>
      <c r="AN65" s="1"/>
      <c r="AQ65" s="1"/>
    </row>
    <row r="66" spans="1:4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 s="1"/>
      <c r="AN66" s="1"/>
    </row>
    <row r="67" spans="1:4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1"/>
      <c r="AN67" s="1"/>
    </row>
    <row r="68" spans="1:4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1"/>
      <c r="AN68" s="1"/>
    </row>
    <row r="69" spans="1:4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1"/>
      <c r="AN69" s="1"/>
    </row>
    <row r="70" spans="1:4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1"/>
      <c r="AN70" s="1"/>
    </row>
    <row r="71" spans="1:4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14"/>
      <c r="AN71" s="22"/>
      <c r="AO71" s="13"/>
      <c r="AP71" s="13"/>
    </row>
    <row r="72" spans="1:4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14"/>
      <c r="AN72" s="22"/>
      <c r="AO72" s="13"/>
      <c r="AP72" s="13"/>
    </row>
    <row r="73" spans="1:4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14"/>
      <c r="AN73" s="22"/>
      <c r="AO73" s="13"/>
      <c r="AP73" s="13"/>
    </row>
    <row r="74" spans="1:4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14"/>
      <c r="AN74" s="22"/>
      <c r="AO74" s="13"/>
      <c r="AP74" s="13"/>
    </row>
    <row r="75" spans="1:4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14"/>
      <c r="AN75" s="22"/>
      <c r="AO75" s="13"/>
      <c r="AP75" s="13"/>
    </row>
    <row r="76" spans="1:4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14"/>
      <c r="AN76" s="22"/>
      <c r="AO76" s="13"/>
      <c r="AP76" s="13"/>
    </row>
    <row r="77" spans="1:4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14"/>
      <c r="AN77" s="22"/>
      <c r="AO77" s="13"/>
      <c r="AP77" s="13"/>
    </row>
    <row r="78" spans="1:4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14"/>
      <c r="AN78" s="22"/>
      <c r="AO78" s="13"/>
      <c r="AP78" s="13"/>
    </row>
    <row r="79" spans="1:4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14"/>
      <c r="AN79" s="22"/>
      <c r="AO79" s="13"/>
      <c r="AP79" s="13"/>
    </row>
    <row r="80" spans="1:4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14"/>
      <c r="AN80" s="22"/>
      <c r="AO80" s="13"/>
      <c r="AP80" s="13"/>
    </row>
    <row r="81" spans="1:4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14"/>
      <c r="AN81" s="22"/>
      <c r="AO81" s="13"/>
      <c r="AP81" s="13"/>
    </row>
    <row r="82" spans="1:4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12"/>
      <c r="AN82" s="6"/>
    </row>
    <row r="83" spans="1:4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 s="12"/>
      <c r="AN83" s="6"/>
    </row>
    <row r="84" spans="1:4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 s="14"/>
      <c r="AN84" s="22"/>
      <c r="AO84" s="13"/>
      <c r="AP84" s="13"/>
    </row>
    <row r="85" spans="1:4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 s="14"/>
      <c r="AN85" s="22"/>
      <c r="AO85" s="13"/>
      <c r="AP85" s="13"/>
    </row>
    <row r="86" spans="1:4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 s="14"/>
      <c r="AN86" s="22"/>
      <c r="AO86" s="13"/>
      <c r="AP86" s="13"/>
    </row>
    <row r="87" spans="1:4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 s="14"/>
      <c r="AN87" s="22"/>
      <c r="AO87" s="13"/>
      <c r="AP87" s="13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/>
      <c r="AM88" s="1"/>
      <c r="AN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/>
      <c r="AM89" s="1"/>
      <c r="AN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/>
      <c r="AM90" s="1"/>
      <c r="AN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/>
      <c r="AM91" s="1"/>
      <c r="AN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/>
      <c r="AM92" s="1"/>
      <c r="AN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/>
      <c r="AM93" s="1"/>
      <c r="AN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/>
      <c r="AM94" s="1"/>
      <c r="AN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/>
      <c r="AM95" s="1"/>
      <c r="AN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/>
      <c r="AM96" s="1"/>
      <c r="AN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/>
      <c r="AM97" s="1"/>
      <c r="AN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/>
      <c r="AM98" s="1"/>
      <c r="AN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/>
      <c r="AM99" s="1"/>
      <c r="AN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/>
      <c r="AM100" s="1"/>
      <c r="AN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Q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zoomScale="85" zoomScaleNormal="85" workbookViewId="0">
      <selection activeCell="E34" sqref="E34"/>
    </sheetView>
  </sheetViews>
  <sheetFormatPr defaultRowHeight="15" x14ac:dyDescent="0.25"/>
  <cols>
    <col min="2" max="2" width="13.5703125" customWidth="1"/>
    <col min="3" max="3" width="10" customWidth="1"/>
    <col min="4" max="4" width="12.85546875" customWidth="1"/>
    <col min="5" max="5" width="26.7109375" customWidth="1"/>
    <col min="6" max="6" width="11.140625" customWidth="1"/>
    <col min="7" max="7" width="14" customWidth="1"/>
    <col min="8" max="8" width="9.85546875" customWidth="1"/>
    <col min="9" max="9" width="11.140625" customWidth="1"/>
    <col min="10" max="10" width="11.85546875" customWidth="1"/>
    <col min="11" max="11" width="12.85546875" customWidth="1"/>
    <col min="12" max="12" width="10.28515625" customWidth="1"/>
  </cols>
  <sheetData>
    <row r="1" spans="2:11" ht="47.25" x14ac:dyDescent="0.25">
      <c r="B1" s="18"/>
      <c r="C1" s="18" t="s">
        <v>60</v>
      </c>
      <c r="D1" s="40" t="s">
        <v>61</v>
      </c>
      <c r="E1" s="18" t="s">
        <v>45</v>
      </c>
      <c r="F1" s="18" t="s">
        <v>41</v>
      </c>
      <c r="G1" s="18" t="s">
        <v>42</v>
      </c>
      <c r="H1" s="39" t="s">
        <v>40</v>
      </c>
      <c r="I1" s="17" t="s">
        <v>48</v>
      </c>
      <c r="J1" s="37" t="s">
        <v>43</v>
      </c>
      <c r="K1" s="19"/>
    </row>
    <row r="2" spans="2:11" ht="15.75" x14ac:dyDescent="0.25">
      <c r="B2" s="20" t="s">
        <v>55</v>
      </c>
      <c r="C2" s="20">
        <v>17</v>
      </c>
      <c r="D2" s="41">
        <v>47</v>
      </c>
      <c r="E2" s="21" t="s">
        <v>46</v>
      </c>
      <c r="F2" s="35">
        <v>7.87</v>
      </c>
      <c r="G2" s="35">
        <v>49.2</v>
      </c>
      <c r="H2" s="35" t="s">
        <v>64</v>
      </c>
      <c r="I2" s="35" t="s">
        <v>66</v>
      </c>
      <c r="J2" s="38" t="s">
        <v>65</v>
      </c>
      <c r="K2" s="36">
        <v>31.4</v>
      </c>
    </row>
    <row r="3" spans="2:11" ht="15.75" x14ac:dyDescent="0.25">
      <c r="B3" s="20" t="s">
        <v>56</v>
      </c>
      <c r="C3" s="20">
        <v>8</v>
      </c>
      <c r="D3" s="41">
        <v>52</v>
      </c>
      <c r="E3" s="21" t="s">
        <v>47</v>
      </c>
      <c r="F3" s="35" t="s">
        <v>67</v>
      </c>
      <c r="G3" s="35" t="s">
        <v>79</v>
      </c>
      <c r="H3" s="35">
        <v>2.2999999999999998</v>
      </c>
      <c r="I3" s="35" t="s">
        <v>69</v>
      </c>
      <c r="J3" s="38" t="s">
        <v>70</v>
      </c>
      <c r="K3" s="36" t="s">
        <v>71</v>
      </c>
    </row>
    <row r="4" spans="2:11" ht="15.75" x14ac:dyDescent="0.25">
      <c r="B4" s="20" t="s">
        <v>57</v>
      </c>
      <c r="C4" s="20">
        <v>8</v>
      </c>
      <c r="D4" s="41">
        <v>88</v>
      </c>
      <c r="E4" s="21" t="s">
        <v>47</v>
      </c>
      <c r="F4" s="43" t="s">
        <v>78</v>
      </c>
      <c r="G4" s="35" t="s">
        <v>72</v>
      </c>
      <c r="H4" s="35" t="s">
        <v>73</v>
      </c>
      <c r="I4" s="35" t="s">
        <v>74</v>
      </c>
      <c r="J4" s="38" t="s">
        <v>75</v>
      </c>
      <c r="K4" s="36" t="s">
        <v>76</v>
      </c>
    </row>
    <row r="5" spans="2:11" ht="15.75" x14ac:dyDescent="0.25">
      <c r="B5" s="20" t="s">
        <v>58</v>
      </c>
      <c r="C5" s="20">
        <v>10</v>
      </c>
      <c r="D5" s="41">
        <v>82</v>
      </c>
      <c r="E5" s="21" t="s">
        <v>47</v>
      </c>
      <c r="F5" s="35" t="s">
        <v>77</v>
      </c>
      <c r="G5" s="35" t="s">
        <v>80</v>
      </c>
      <c r="H5" s="35" t="s">
        <v>81</v>
      </c>
      <c r="I5" s="35" t="s">
        <v>82</v>
      </c>
      <c r="J5" s="38" t="s">
        <v>83</v>
      </c>
      <c r="K5" s="36" t="s">
        <v>84</v>
      </c>
    </row>
    <row r="6" spans="2:11" ht="15.75" x14ac:dyDescent="0.25">
      <c r="B6" s="20" t="s">
        <v>59</v>
      </c>
      <c r="C6" s="20">
        <v>30</v>
      </c>
      <c r="D6" s="41">
        <v>198</v>
      </c>
      <c r="E6" s="21" t="s">
        <v>68</v>
      </c>
      <c r="F6" s="35" t="s">
        <v>100</v>
      </c>
      <c r="G6" s="35" t="s">
        <v>85</v>
      </c>
      <c r="H6" s="35" t="s">
        <v>86</v>
      </c>
      <c r="I6" s="35" t="s">
        <v>87</v>
      </c>
      <c r="J6" s="38" t="s">
        <v>88</v>
      </c>
      <c r="K6" s="36" t="s">
        <v>89</v>
      </c>
    </row>
    <row r="7" spans="2:11" ht="15.75" x14ac:dyDescent="0.25">
      <c r="B7" s="20" t="s">
        <v>49</v>
      </c>
      <c r="C7" s="20">
        <v>1</v>
      </c>
      <c r="D7" s="41">
        <v>10</v>
      </c>
      <c r="E7" s="21" t="s">
        <v>62</v>
      </c>
      <c r="F7" s="35">
        <v>9.8000000000000007</v>
      </c>
      <c r="G7" s="35">
        <v>937</v>
      </c>
      <c r="H7" s="35">
        <v>3.1</v>
      </c>
      <c r="I7" s="35">
        <v>151.19999999999999</v>
      </c>
      <c r="J7" s="38">
        <v>0.7</v>
      </c>
      <c r="K7" s="36">
        <v>40</v>
      </c>
    </row>
    <row r="8" spans="2:11" ht="15.75" x14ac:dyDescent="0.25">
      <c r="B8" s="20" t="s">
        <v>50</v>
      </c>
      <c r="C8" s="20">
        <v>1</v>
      </c>
      <c r="D8" s="41">
        <v>4</v>
      </c>
      <c r="E8" s="21" t="s">
        <v>62</v>
      </c>
      <c r="F8" s="35">
        <v>11.8</v>
      </c>
      <c r="G8" s="35">
        <v>452.6</v>
      </c>
      <c r="H8" s="35">
        <v>2.9</v>
      </c>
      <c r="I8" s="35">
        <v>74.400000000000006</v>
      </c>
      <c r="J8" s="38">
        <v>0.7</v>
      </c>
      <c r="K8" s="36">
        <v>31.8</v>
      </c>
    </row>
    <row r="9" spans="2:11" ht="15.75" x14ac:dyDescent="0.25">
      <c r="B9" s="20" t="s">
        <v>52</v>
      </c>
      <c r="C9" s="20">
        <v>2</v>
      </c>
      <c r="D9" s="41">
        <v>12</v>
      </c>
      <c r="E9" s="21" t="s">
        <v>62</v>
      </c>
      <c r="F9" s="35">
        <v>11.8</v>
      </c>
      <c r="G9" s="35" t="s">
        <v>90</v>
      </c>
      <c r="H9" s="35" t="s">
        <v>91</v>
      </c>
      <c r="I9" s="35">
        <v>75.599999999999994</v>
      </c>
      <c r="J9" s="38" t="s">
        <v>92</v>
      </c>
      <c r="K9" s="36" t="s">
        <v>93</v>
      </c>
    </row>
    <row r="10" spans="2:11" ht="15.75" x14ac:dyDescent="0.25">
      <c r="B10" s="20" t="s">
        <v>53</v>
      </c>
      <c r="C10" s="20">
        <v>6</v>
      </c>
      <c r="D10" s="41">
        <v>42</v>
      </c>
      <c r="E10" s="42" t="s">
        <v>51</v>
      </c>
      <c r="F10" s="35">
        <v>11.81</v>
      </c>
      <c r="G10" s="35" t="s">
        <v>94</v>
      </c>
      <c r="H10" s="49" t="s">
        <v>95</v>
      </c>
      <c r="I10" s="35">
        <v>36.4</v>
      </c>
      <c r="J10" s="38">
        <v>0.98</v>
      </c>
      <c r="K10" s="36" t="s">
        <v>96</v>
      </c>
    </row>
    <row r="11" spans="2:11" ht="16.5" thickBot="1" x14ac:dyDescent="0.3">
      <c r="B11" s="44" t="s">
        <v>54</v>
      </c>
      <c r="C11" s="44">
        <v>3</v>
      </c>
      <c r="D11" s="45">
        <v>28</v>
      </c>
      <c r="E11" s="50" t="s">
        <v>63</v>
      </c>
      <c r="F11" s="51">
        <v>7.84</v>
      </c>
      <c r="G11" s="51" t="s">
        <v>97</v>
      </c>
      <c r="H11" s="51" t="s">
        <v>102</v>
      </c>
      <c r="I11" s="51">
        <v>11.81</v>
      </c>
      <c r="J11" s="52" t="s">
        <v>98</v>
      </c>
      <c r="K11" s="53" t="s">
        <v>99</v>
      </c>
    </row>
    <row r="12" spans="2:11" ht="16.5" thickBot="1" x14ac:dyDescent="0.3">
      <c r="B12" s="46" t="s">
        <v>107</v>
      </c>
      <c r="C12" s="47">
        <f>SUM(C2:C11)</f>
        <v>86</v>
      </c>
      <c r="D12" s="48">
        <f>SUM(D2:D11)</f>
        <v>563</v>
      </c>
      <c r="E12" s="54"/>
      <c r="F12" s="47" t="s">
        <v>100</v>
      </c>
      <c r="G12" s="48" t="s">
        <v>101</v>
      </c>
      <c r="H12" s="47" t="s">
        <v>106</v>
      </c>
      <c r="I12" s="48" t="s">
        <v>103</v>
      </c>
      <c r="J12" s="47" t="s">
        <v>104</v>
      </c>
      <c r="K12" s="48" t="s">
        <v>105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T1" sqref="T1:T12"/>
    </sheetView>
  </sheetViews>
  <sheetFormatPr defaultRowHeight="15" x14ac:dyDescent="0.25"/>
  <sheetData>
    <row r="1" spans="1:20" x14ac:dyDescent="0.25">
      <c r="A1" s="70">
        <v>187</v>
      </c>
      <c r="B1">
        <f>A1/2</f>
        <v>93.5</v>
      </c>
      <c r="D1" s="70">
        <v>100</v>
      </c>
      <c r="E1">
        <f>D1/2</f>
        <v>50</v>
      </c>
      <c r="M1">
        <v>17.5</v>
      </c>
      <c r="N1">
        <f>M1*2</f>
        <v>35</v>
      </c>
      <c r="P1" s="70">
        <v>50</v>
      </c>
      <c r="Q1">
        <f>P1*2</f>
        <v>100</v>
      </c>
      <c r="S1" s="70">
        <v>250</v>
      </c>
      <c r="T1">
        <f>S1/2</f>
        <v>125</v>
      </c>
    </row>
    <row r="2" spans="1:20" x14ac:dyDescent="0.25">
      <c r="A2" s="70">
        <v>500</v>
      </c>
      <c r="B2">
        <f t="shared" ref="B2:B65" si="0">A2/2</f>
        <v>250</v>
      </c>
      <c r="D2" s="70">
        <v>200</v>
      </c>
      <c r="E2">
        <f t="shared" ref="E2:E48" si="1">D2/2</f>
        <v>100</v>
      </c>
      <c r="M2">
        <v>25</v>
      </c>
      <c r="N2">
        <f t="shared" ref="N2:N23" si="2">M2*2</f>
        <v>50</v>
      </c>
      <c r="P2" s="70">
        <v>100</v>
      </c>
      <c r="Q2">
        <f t="shared" ref="Q2:Q11" si="3">P2*2</f>
        <v>200</v>
      </c>
      <c r="S2" s="69">
        <v>500</v>
      </c>
      <c r="T2">
        <f t="shared" ref="T2:T12" si="4">S2/2</f>
        <v>250</v>
      </c>
    </row>
    <row r="3" spans="1:20" x14ac:dyDescent="0.25">
      <c r="A3" s="70">
        <v>800</v>
      </c>
      <c r="B3">
        <f t="shared" si="0"/>
        <v>400</v>
      </c>
      <c r="D3" s="70">
        <v>250</v>
      </c>
      <c r="E3">
        <f t="shared" si="1"/>
        <v>125</v>
      </c>
      <c r="M3">
        <v>30</v>
      </c>
      <c r="N3">
        <f t="shared" si="2"/>
        <v>60</v>
      </c>
      <c r="P3" s="70">
        <v>125</v>
      </c>
      <c r="Q3">
        <f t="shared" si="3"/>
        <v>250</v>
      </c>
      <c r="S3" s="69">
        <v>598</v>
      </c>
      <c r="T3">
        <f t="shared" si="4"/>
        <v>299</v>
      </c>
    </row>
    <row r="4" spans="1:20" x14ac:dyDescent="0.25">
      <c r="A4" s="70">
        <v>1100</v>
      </c>
      <c r="B4">
        <f t="shared" si="0"/>
        <v>550</v>
      </c>
      <c r="D4" s="70">
        <v>300</v>
      </c>
      <c r="E4">
        <f t="shared" si="1"/>
        <v>150</v>
      </c>
      <c r="M4">
        <v>35</v>
      </c>
      <c r="N4">
        <f t="shared" si="2"/>
        <v>70</v>
      </c>
      <c r="P4" s="70">
        <v>150</v>
      </c>
      <c r="Q4">
        <f t="shared" si="3"/>
        <v>300</v>
      </c>
      <c r="S4" s="69">
        <v>150</v>
      </c>
      <c r="T4">
        <f t="shared" si="4"/>
        <v>75</v>
      </c>
    </row>
    <row r="5" spans="1:20" x14ac:dyDescent="0.25">
      <c r="A5" s="70">
        <v>1400</v>
      </c>
      <c r="B5">
        <f t="shared" si="0"/>
        <v>700</v>
      </c>
      <c r="D5" s="70">
        <v>336</v>
      </c>
      <c r="E5">
        <f t="shared" si="1"/>
        <v>168</v>
      </c>
      <c r="M5">
        <v>37.5</v>
      </c>
      <c r="N5">
        <f t="shared" si="2"/>
        <v>75</v>
      </c>
      <c r="P5" s="70">
        <v>168</v>
      </c>
      <c r="Q5">
        <f t="shared" si="3"/>
        <v>336</v>
      </c>
      <c r="S5" s="69">
        <v>300</v>
      </c>
      <c r="T5">
        <f t="shared" si="4"/>
        <v>150</v>
      </c>
    </row>
    <row r="6" spans="1:20" x14ac:dyDescent="0.25">
      <c r="A6" s="70">
        <v>1550</v>
      </c>
      <c r="B6">
        <f t="shared" si="0"/>
        <v>775</v>
      </c>
      <c r="D6" s="69">
        <v>70</v>
      </c>
      <c r="E6">
        <f t="shared" si="1"/>
        <v>35</v>
      </c>
      <c r="M6">
        <v>40</v>
      </c>
      <c r="N6">
        <f t="shared" si="2"/>
        <v>80</v>
      </c>
      <c r="P6" s="69">
        <v>35</v>
      </c>
      <c r="Q6">
        <f t="shared" si="3"/>
        <v>70</v>
      </c>
      <c r="S6" s="69">
        <v>465</v>
      </c>
      <c r="T6">
        <f t="shared" si="4"/>
        <v>232.5</v>
      </c>
    </row>
    <row r="7" spans="1:20" x14ac:dyDescent="0.25">
      <c r="A7" s="69">
        <v>500</v>
      </c>
      <c r="B7">
        <f t="shared" si="0"/>
        <v>250</v>
      </c>
      <c r="D7" s="69">
        <v>200</v>
      </c>
      <c r="E7">
        <f t="shared" si="1"/>
        <v>100</v>
      </c>
      <c r="M7">
        <v>44.5</v>
      </c>
      <c r="N7">
        <f t="shared" si="2"/>
        <v>89</v>
      </c>
      <c r="P7" s="69">
        <v>100</v>
      </c>
      <c r="Q7">
        <f t="shared" si="3"/>
        <v>200</v>
      </c>
      <c r="S7" s="69">
        <v>80</v>
      </c>
      <c r="T7">
        <f t="shared" si="4"/>
        <v>40</v>
      </c>
    </row>
    <row r="8" spans="1:20" x14ac:dyDescent="0.25">
      <c r="A8" s="69">
        <v>800</v>
      </c>
      <c r="B8">
        <f t="shared" si="0"/>
        <v>400</v>
      </c>
      <c r="D8" s="69">
        <v>300</v>
      </c>
      <c r="E8">
        <f t="shared" si="1"/>
        <v>150</v>
      </c>
      <c r="M8">
        <v>45</v>
      </c>
      <c r="N8">
        <f t="shared" si="2"/>
        <v>90</v>
      </c>
      <c r="P8" s="69">
        <v>150</v>
      </c>
      <c r="Q8">
        <f t="shared" si="3"/>
        <v>300</v>
      </c>
      <c r="S8" s="69">
        <v>150</v>
      </c>
      <c r="T8">
        <f t="shared" si="4"/>
        <v>75</v>
      </c>
    </row>
    <row r="9" spans="1:20" x14ac:dyDescent="0.25">
      <c r="A9" s="69">
        <v>1100</v>
      </c>
      <c r="B9">
        <f t="shared" si="0"/>
        <v>550</v>
      </c>
      <c r="D9" s="69">
        <v>370</v>
      </c>
      <c r="E9">
        <f t="shared" si="1"/>
        <v>185</v>
      </c>
      <c r="G9" s="70">
        <v>350</v>
      </c>
      <c r="H9">
        <f>G9/2</f>
        <v>175</v>
      </c>
      <c r="J9" s="70">
        <v>228</v>
      </c>
      <c r="K9">
        <f>J9/2</f>
        <v>114</v>
      </c>
      <c r="M9">
        <v>46.5</v>
      </c>
      <c r="N9">
        <f t="shared" si="2"/>
        <v>93</v>
      </c>
      <c r="P9" s="69">
        <v>185</v>
      </c>
      <c r="Q9">
        <f t="shared" si="3"/>
        <v>370</v>
      </c>
      <c r="S9" s="69">
        <v>274</v>
      </c>
      <c r="T9">
        <f t="shared" si="4"/>
        <v>137</v>
      </c>
    </row>
    <row r="10" spans="1:20" x14ac:dyDescent="0.25">
      <c r="A10" s="69">
        <v>1400</v>
      </c>
      <c r="B10">
        <f t="shared" si="0"/>
        <v>700</v>
      </c>
      <c r="D10" s="69">
        <v>400</v>
      </c>
      <c r="E10">
        <f t="shared" si="1"/>
        <v>200</v>
      </c>
      <c r="G10" s="69">
        <v>500</v>
      </c>
      <c r="H10">
        <f t="shared" ref="H10:H19" si="5">G10/2</f>
        <v>250</v>
      </c>
      <c r="J10" s="69">
        <v>592</v>
      </c>
      <c r="K10">
        <f t="shared" ref="K10:K29" si="6">J10/2</f>
        <v>296</v>
      </c>
      <c r="M10">
        <v>125</v>
      </c>
      <c r="N10">
        <f t="shared" si="2"/>
        <v>250</v>
      </c>
      <c r="P10" s="69">
        <v>200</v>
      </c>
      <c r="Q10">
        <f t="shared" si="3"/>
        <v>400</v>
      </c>
      <c r="S10" s="69">
        <v>70</v>
      </c>
      <c r="T10">
        <f t="shared" si="4"/>
        <v>35</v>
      </c>
    </row>
    <row r="11" spans="1:20" x14ac:dyDescent="0.25">
      <c r="A11" s="69">
        <v>1550</v>
      </c>
      <c r="B11">
        <f t="shared" si="0"/>
        <v>775</v>
      </c>
      <c r="D11" s="69">
        <v>455</v>
      </c>
      <c r="E11">
        <f t="shared" si="1"/>
        <v>227.5</v>
      </c>
      <c r="G11" s="69">
        <v>550</v>
      </c>
      <c r="H11">
        <f t="shared" si="5"/>
        <v>275</v>
      </c>
      <c r="J11" s="69">
        <v>751</v>
      </c>
      <c r="K11">
        <f t="shared" si="6"/>
        <v>375.5</v>
      </c>
      <c r="M11">
        <v>175</v>
      </c>
      <c r="N11">
        <f t="shared" si="2"/>
        <v>350</v>
      </c>
      <c r="P11" s="69">
        <v>227.5</v>
      </c>
      <c r="Q11">
        <f t="shared" si="3"/>
        <v>455</v>
      </c>
      <c r="S11" s="69">
        <v>100</v>
      </c>
      <c r="T11">
        <f t="shared" si="4"/>
        <v>50</v>
      </c>
    </row>
    <row r="12" spans="1:20" x14ac:dyDescent="0.25">
      <c r="A12" s="69">
        <v>1650</v>
      </c>
      <c r="B12">
        <f t="shared" si="0"/>
        <v>825</v>
      </c>
      <c r="D12" s="69">
        <v>300</v>
      </c>
      <c r="E12">
        <f t="shared" si="1"/>
        <v>150</v>
      </c>
      <c r="G12" s="69">
        <v>596</v>
      </c>
      <c r="H12">
        <f t="shared" si="5"/>
        <v>298</v>
      </c>
      <c r="J12" s="69">
        <v>843</v>
      </c>
      <c r="K12">
        <f t="shared" si="6"/>
        <v>421.5</v>
      </c>
      <c r="M12">
        <v>200</v>
      </c>
      <c r="N12">
        <f t="shared" si="2"/>
        <v>400</v>
      </c>
      <c r="S12" s="69">
        <v>221</v>
      </c>
      <c r="T12">
        <f t="shared" si="4"/>
        <v>110.5</v>
      </c>
    </row>
    <row r="13" spans="1:20" x14ac:dyDescent="0.25">
      <c r="A13" s="69">
        <v>500</v>
      </c>
      <c r="B13">
        <f t="shared" si="0"/>
        <v>250</v>
      </c>
      <c r="D13" s="69">
        <v>600</v>
      </c>
      <c r="E13">
        <f t="shared" si="1"/>
        <v>300</v>
      </c>
      <c r="G13" s="69">
        <v>642</v>
      </c>
      <c r="H13">
        <f t="shared" si="5"/>
        <v>321</v>
      </c>
      <c r="J13" s="69">
        <v>963</v>
      </c>
      <c r="K13">
        <f t="shared" si="6"/>
        <v>481.5</v>
      </c>
      <c r="M13">
        <v>237.5</v>
      </c>
      <c r="N13">
        <f t="shared" si="2"/>
        <v>475</v>
      </c>
    </row>
    <row r="14" spans="1:20" x14ac:dyDescent="0.25">
      <c r="A14" s="69">
        <v>800</v>
      </c>
      <c r="B14">
        <f t="shared" si="0"/>
        <v>400</v>
      </c>
      <c r="D14" s="69">
        <v>750</v>
      </c>
      <c r="E14">
        <f t="shared" si="1"/>
        <v>375</v>
      </c>
      <c r="G14" s="69">
        <v>651</v>
      </c>
      <c r="H14">
        <f t="shared" si="5"/>
        <v>325.5</v>
      </c>
      <c r="J14" s="69">
        <v>1053</v>
      </c>
      <c r="K14">
        <f t="shared" si="6"/>
        <v>526.5</v>
      </c>
      <c r="M14">
        <v>275</v>
      </c>
      <c r="N14">
        <f t="shared" si="2"/>
        <v>550</v>
      </c>
    </row>
    <row r="15" spans="1:20" x14ac:dyDescent="0.25">
      <c r="A15" s="69">
        <v>1400</v>
      </c>
      <c r="B15">
        <f t="shared" si="0"/>
        <v>700</v>
      </c>
      <c r="D15" s="69">
        <v>900</v>
      </c>
      <c r="E15">
        <f t="shared" si="1"/>
        <v>450</v>
      </c>
      <c r="G15" s="69">
        <v>600</v>
      </c>
      <c r="H15">
        <f t="shared" si="5"/>
        <v>300</v>
      </c>
      <c r="J15" s="69">
        <v>1138</v>
      </c>
      <c r="K15">
        <f t="shared" si="6"/>
        <v>569</v>
      </c>
      <c r="M15">
        <v>312.5</v>
      </c>
      <c r="N15">
        <f t="shared" si="2"/>
        <v>625</v>
      </c>
    </row>
    <row r="16" spans="1:20" x14ac:dyDescent="0.25">
      <c r="A16" s="69">
        <v>1550</v>
      </c>
      <c r="B16">
        <f t="shared" si="0"/>
        <v>775</v>
      </c>
      <c r="D16" s="69">
        <v>1200</v>
      </c>
      <c r="E16">
        <f t="shared" si="1"/>
        <v>600</v>
      </c>
      <c r="G16" s="69">
        <v>800</v>
      </c>
      <c r="H16">
        <f t="shared" si="5"/>
        <v>400</v>
      </c>
      <c r="J16" s="69">
        <v>1249</v>
      </c>
      <c r="K16">
        <f t="shared" si="6"/>
        <v>624.5</v>
      </c>
      <c r="M16">
        <v>330</v>
      </c>
      <c r="N16">
        <f t="shared" si="2"/>
        <v>660</v>
      </c>
    </row>
    <row r="17" spans="1:14" x14ac:dyDescent="0.25">
      <c r="A17" s="69">
        <v>1635</v>
      </c>
      <c r="B17">
        <f t="shared" si="0"/>
        <v>817.5</v>
      </c>
      <c r="D17" s="69">
        <v>1500</v>
      </c>
      <c r="E17">
        <f t="shared" si="1"/>
        <v>750</v>
      </c>
      <c r="G17" s="69">
        <v>1000</v>
      </c>
      <c r="H17">
        <f t="shared" si="5"/>
        <v>500</v>
      </c>
      <c r="J17" s="69">
        <v>1300</v>
      </c>
      <c r="K17">
        <f t="shared" si="6"/>
        <v>650</v>
      </c>
      <c r="M17">
        <v>337.5</v>
      </c>
      <c r="N17">
        <f t="shared" si="2"/>
        <v>675</v>
      </c>
    </row>
    <row r="18" spans="1:14" x14ac:dyDescent="0.25">
      <c r="A18" s="69">
        <v>1700</v>
      </c>
      <c r="B18">
        <f t="shared" si="0"/>
        <v>850</v>
      </c>
      <c r="D18" s="69">
        <v>1550</v>
      </c>
      <c r="E18">
        <f t="shared" si="1"/>
        <v>775</v>
      </c>
      <c r="G18" s="69">
        <v>1150</v>
      </c>
      <c r="H18">
        <f t="shared" si="5"/>
        <v>575</v>
      </c>
      <c r="J18" s="69">
        <v>228</v>
      </c>
      <c r="K18">
        <f t="shared" si="6"/>
        <v>114</v>
      </c>
      <c r="M18">
        <v>125</v>
      </c>
      <c r="N18">
        <f t="shared" si="2"/>
        <v>250</v>
      </c>
    </row>
    <row r="19" spans="1:14" x14ac:dyDescent="0.25">
      <c r="A19" s="69">
        <v>1800</v>
      </c>
      <c r="B19">
        <f t="shared" si="0"/>
        <v>900</v>
      </c>
      <c r="D19" s="69">
        <v>282</v>
      </c>
      <c r="E19">
        <f t="shared" si="1"/>
        <v>141</v>
      </c>
      <c r="G19" s="69">
        <v>1225</v>
      </c>
      <c r="H19">
        <f t="shared" si="5"/>
        <v>612.5</v>
      </c>
      <c r="J19" s="69">
        <v>592</v>
      </c>
      <c r="K19">
        <f t="shared" si="6"/>
        <v>296</v>
      </c>
      <c r="M19">
        <v>200</v>
      </c>
      <c r="N19">
        <f t="shared" si="2"/>
        <v>400</v>
      </c>
    </row>
    <row r="20" spans="1:14" x14ac:dyDescent="0.25">
      <c r="A20" s="69">
        <v>200</v>
      </c>
      <c r="B20">
        <f t="shared" si="0"/>
        <v>100</v>
      </c>
      <c r="D20" s="69">
        <v>600</v>
      </c>
      <c r="E20">
        <f t="shared" si="1"/>
        <v>300</v>
      </c>
      <c r="J20" s="69">
        <v>751</v>
      </c>
      <c r="K20">
        <f t="shared" si="6"/>
        <v>375.5</v>
      </c>
      <c r="M20">
        <v>275</v>
      </c>
      <c r="N20">
        <f t="shared" si="2"/>
        <v>550</v>
      </c>
    </row>
    <row r="21" spans="1:14" x14ac:dyDescent="0.25">
      <c r="A21" s="69">
        <v>800</v>
      </c>
      <c r="B21">
        <f t="shared" si="0"/>
        <v>400</v>
      </c>
      <c r="D21" s="69">
        <v>900</v>
      </c>
      <c r="E21">
        <f t="shared" si="1"/>
        <v>450</v>
      </c>
      <c r="J21" s="69">
        <v>843</v>
      </c>
      <c r="K21">
        <f t="shared" si="6"/>
        <v>421.5</v>
      </c>
      <c r="M21">
        <v>350</v>
      </c>
      <c r="N21">
        <f t="shared" si="2"/>
        <v>700</v>
      </c>
    </row>
    <row r="22" spans="1:14" x14ac:dyDescent="0.25">
      <c r="A22" s="69">
        <v>1400</v>
      </c>
      <c r="B22">
        <f t="shared" si="0"/>
        <v>700</v>
      </c>
      <c r="D22" s="69">
        <v>1200</v>
      </c>
      <c r="E22">
        <f t="shared" si="1"/>
        <v>600</v>
      </c>
      <c r="J22" s="69">
        <v>963</v>
      </c>
      <c r="K22">
        <f t="shared" si="6"/>
        <v>481.5</v>
      </c>
      <c r="M22">
        <v>385</v>
      </c>
      <c r="N22">
        <f t="shared" si="2"/>
        <v>770</v>
      </c>
    </row>
    <row r="23" spans="1:14" x14ac:dyDescent="0.25">
      <c r="A23" s="69">
        <v>1550</v>
      </c>
      <c r="B23">
        <f t="shared" si="0"/>
        <v>775</v>
      </c>
      <c r="D23" s="69">
        <v>1500</v>
      </c>
      <c r="E23">
        <f t="shared" si="1"/>
        <v>750</v>
      </c>
      <c r="J23" s="69">
        <v>1053</v>
      </c>
      <c r="K23">
        <f t="shared" si="6"/>
        <v>526.5</v>
      </c>
      <c r="M23">
        <v>393</v>
      </c>
      <c r="N23">
        <f t="shared" si="2"/>
        <v>786</v>
      </c>
    </row>
    <row r="24" spans="1:14" x14ac:dyDescent="0.25">
      <c r="A24" s="69">
        <v>1637</v>
      </c>
      <c r="B24">
        <f t="shared" si="0"/>
        <v>818.5</v>
      </c>
      <c r="D24" s="69">
        <v>1820</v>
      </c>
      <c r="E24">
        <f t="shared" si="1"/>
        <v>910</v>
      </c>
      <c r="J24" s="69">
        <v>235</v>
      </c>
      <c r="K24">
        <f t="shared" si="6"/>
        <v>117.5</v>
      </c>
      <c r="M24">
        <v>405</v>
      </c>
      <c r="N24">
        <f>M24*2</f>
        <v>810</v>
      </c>
    </row>
    <row r="25" spans="1:14" x14ac:dyDescent="0.25">
      <c r="A25" s="69">
        <v>1700</v>
      </c>
      <c r="B25">
        <f t="shared" si="0"/>
        <v>850</v>
      </c>
      <c r="D25" s="69">
        <v>35</v>
      </c>
      <c r="E25">
        <f t="shared" si="1"/>
        <v>17.5</v>
      </c>
      <c r="J25" s="69">
        <v>350</v>
      </c>
      <c r="K25">
        <f t="shared" si="6"/>
        <v>175</v>
      </c>
    </row>
    <row r="26" spans="1:14" x14ac:dyDescent="0.25">
      <c r="A26" s="69">
        <v>1800</v>
      </c>
      <c r="B26">
        <f t="shared" si="0"/>
        <v>900</v>
      </c>
      <c r="D26" s="69">
        <v>50</v>
      </c>
      <c r="E26">
        <f t="shared" si="1"/>
        <v>25</v>
      </c>
      <c r="J26" s="69">
        <v>461</v>
      </c>
      <c r="K26">
        <f t="shared" si="6"/>
        <v>230.5</v>
      </c>
    </row>
    <row r="27" spans="1:14" x14ac:dyDescent="0.25">
      <c r="A27" s="69">
        <v>1900</v>
      </c>
      <c r="B27">
        <f t="shared" si="0"/>
        <v>950</v>
      </c>
      <c r="D27" s="69">
        <v>60</v>
      </c>
      <c r="E27">
        <f t="shared" si="1"/>
        <v>30</v>
      </c>
      <c r="J27" s="69">
        <v>568</v>
      </c>
      <c r="K27">
        <f t="shared" si="6"/>
        <v>284</v>
      </c>
    </row>
    <row r="28" spans="1:14" x14ac:dyDescent="0.25">
      <c r="A28" s="69">
        <v>2000</v>
      </c>
      <c r="B28">
        <f t="shared" si="0"/>
        <v>1000</v>
      </c>
      <c r="D28" s="69">
        <v>70</v>
      </c>
      <c r="E28">
        <f t="shared" si="1"/>
        <v>35</v>
      </c>
      <c r="J28" s="69">
        <v>750</v>
      </c>
      <c r="K28">
        <f t="shared" si="6"/>
        <v>375</v>
      </c>
    </row>
    <row r="29" spans="1:14" x14ac:dyDescent="0.25">
      <c r="A29" s="69">
        <v>100</v>
      </c>
      <c r="B29">
        <f t="shared" si="0"/>
        <v>50</v>
      </c>
      <c r="D29" s="69">
        <v>75</v>
      </c>
      <c r="E29">
        <f t="shared" si="1"/>
        <v>37.5</v>
      </c>
      <c r="J29" s="69">
        <v>897</v>
      </c>
      <c r="K29">
        <f t="shared" si="6"/>
        <v>448.5</v>
      </c>
    </row>
    <row r="30" spans="1:14" x14ac:dyDescent="0.25">
      <c r="A30" s="69">
        <v>199</v>
      </c>
      <c r="B30">
        <f t="shared" si="0"/>
        <v>99.5</v>
      </c>
      <c r="D30" s="69">
        <v>80</v>
      </c>
      <c r="E30">
        <f t="shared" si="1"/>
        <v>40</v>
      </c>
    </row>
    <row r="31" spans="1:14" x14ac:dyDescent="0.25">
      <c r="A31" s="69">
        <v>299</v>
      </c>
      <c r="B31">
        <f t="shared" si="0"/>
        <v>149.5</v>
      </c>
      <c r="D31" s="69">
        <v>89</v>
      </c>
      <c r="E31">
        <f t="shared" si="1"/>
        <v>44.5</v>
      </c>
    </row>
    <row r="32" spans="1:14" x14ac:dyDescent="0.25">
      <c r="A32" s="69">
        <v>400</v>
      </c>
      <c r="B32">
        <f t="shared" si="0"/>
        <v>200</v>
      </c>
      <c r="D32" s="69">
        <v>90</v>
      </c>
      <c r="E32">
        <f t="shared" si="1"/>
        <v>45</v>
      </c>
    </row>
    <row r="33" spans="1:5" x14ac:dyDescent="0.25">
      <c r="A33" s="69">
        <v>520</v>
      </c>
      <c r="B33">
        <f t="shared" si="0"/>
        <v>260</v>
      </c>
      <c r="D33" s="69">
        <v>93</v>
      </c>
      <c r="E33">
        <f t="shared" si="1"/>
        <v>46.5</v>
      </c>
    </row>
    <row r="34" spans="1:5" x14ac:dyDescent="0.25">
      <c r="A34" s="69">
        <v>550</v>
      </c>
      <c r="B34">
        <f t="shared" si="0"/>
        <v>275</v>
      </c>
      <c r="D34" s="69">
        <v>250</v>
      </c>
      <c r="E34">
        <f t="shared" si="1"/>
        <v>125</v>
      </c>
    </row>
    <row r="35" spans="1:5" x14ac:dyDescent="0.25">
      <c r="A35" s="69">
        <v>624</v>
      </c>
      <c r="B35">
        <f t="shared" si="0"/>
        <v>312</v>
      </c>
      <c r="D35" s="69">
        <v>350</v>
      </c>
      <c r="E35">
        <f t="shared" si="1"/>
        <v>175</v>
      </c>
    </row>
    <row r="36" spans="1:5" x14ac:dyDescent="0.25">
      <c r="A36" s="69">
        <v>700</v>
      </c>
      <c r="B36">
        <f t="shared" si="0"/>
        <v>350</v>
      </c>
      <c r="D36" s="69">
        <v>400</v>
      </c>
      <c r="E36">
        <f t="shared" si="1"/>
        <v>200</v>
      </c>
    </row>
    <row r="37" spans="1:5" x14ac:dyDescent="0.25">
      <c r="A37" s="69">
        <v>775</v>
      </c>
      <c r="B37">
        <f t="shared" si="0"/>
        <v>387.5</v>
      </c>
      <c r="D37" s="69">
        <v>475</v>
      </c>
      <c r="E37">
        <f t="shared" si="1"/>
        <v>237.5</v>
      </c>
    </row>
    <row r="38" spans="1:5" x14ac:dyDescent="0.25">
      <c r="A38" s="69">
        <v>849</v>
      </c>
      <c r="B38">
        <f t="shared" si="0"/>
        <v>424.5</v>
      </c>
      <c r="D38" s="69">
        <v>550</v>
      </c>
      <c r="E38">
        <f t="shared" si="1"/>
        <v>275</v>
      </c>
    </row>
    <row r="39" spans="1:5" x14ac:dyDescent="0.25">
      <c r="A39" s="69">
        <v>102</v>
      </c>
      <c r="B39">
        <f t="shared" si="0"/>
        <v>51</v>
      </c>
      <c r="D39" s="69">
        <v>625</v>
      </c>
      <c r="E39">
        <f t="shared" si="1"/>
        <v>312.5</v>
      </c>
    </row>
    <row r="40" spans="1:5" x14ac:dyDescent="0.25">
      <c r="A40" s="69">
        <v>205</v>
      </c>
      <c r="B40">
        <f t="shared" si="0"/>
        <v>102.5</v>
      </c>
      <c r="D40" s="69">
        <v>660</v>
      </c>
      <c r="E40">
        <f t="shared" si="1"/>
        <v>330</v>
      </c>
    </row>
    <row r="41" spans="1:5" x14ac:dyDescent="0.25">
      <c r="A41" s="69">
        <v>300</v>
      </c>
      <c r="B41">
        <f t="shared" si="0"/>
        <v>150</v>
      </c>
      <c r="D41" s="69">
        <v>675</v>
      </c>
      <c r="E41">
        <f t="shared" si="1"/>
        <v>337.5</v>
      </c>
    </row>
    <row r="42" spans="1:5" x14ac:dyDescent="0.25">
      <c r="A42" s="69">
        <v>399</v>
      </c>
      <c r="B42">
        <f t="shared" si="0"/>
        <v>199.5</v>
      </c>
      <c r="D42" s="69">
        <v>250</v>
      </c>
      <c r="E42">
        <f t="shared" si="1"/>
        <v>125</v>
      </c>
    </row>
    <row r="43" spans="1:5" x14ac:dyDescent="0.25">
      <c r="A43" s="69">
        <v>499</v>
      </c>
      <c r="B43">
        <f t="shared" si="0"/>
        <v>249.5</v>
      </c>
      <c r="D43" s="69">
        <v>400</v>
      </c>
      <c r="E43">
        <f t="shared" si="1"/>
        <v>200</v>
      </c>
    </row>
    <row r="44" spans="1:5" x14ac:dyDescent="0.25">
      <c r="A44" s="69">
        <v>551</v>
      </c>
      <c r="B44">
        <f t="shared" si="0"/>
        <v>275.5</v>
      </c>
      <c r="D44" s="69">
        <v>550</v>
      </c>
      <c r="E44">
        <f t="shared" si="1"/>
        <v>275</v>
      </c>
    </row>
    <row r="45" spans="1:5" x14ac:dyDescent="0.25">
      <c r="A45" s="69">
        <v>624</v>
      </c>
      <c r="B45">
        <f t="shared" si="0"/>
        <v>312</v>
      </c>
      <c r="D45" s="69">
        <v>700</v>
      </c>
      <c r="E45">
        <f t="shared" si="1"/>
        <v>350</v>
      </c>
    </row>
    <row r="46" spans="1:5" x14ac:dyDescent="0.25">
      <c r="A46" s="69">
        <v>104</v>
      </c>
      <c r="B46">
        <f t="shared" si="0"/>
        <v>52</v>
      </c>
      <c r="D46" s="69">
        <v>770</v>
      </c>
      <c r="E46">
        <f t="shared" si="1"/>
        <v>385</v>
      </c>
    </row>
    <row r="47" spans="1:5" x14ac:dyDescent="0.25">
      <c r="A47" s="69">
        <v>200</v>
      </c>
      <c r="B47">
        <f t="shared" si="0"/>
        <v>100</v>
      </c>
      <c r="D47" s="69">
        <v>786</v>
      </c>
      <c r="E47">
        <f t="shared" si="1"/>
        <v>393</v>
      </c>
    </row>
    <row r="48" spans="1:5" x14ac:dyDescent="0.25">
      <c r="A48" s="69">
        <v>299</v>
      </c>
      <c r="B48">
        <f t="shared" si="0"/>
        <v>149.5</v>
      </c>
      <c r="D48" s="69">
        <v>810</v>
      </c>
      <c r="E48">
        <f t="shared" si="1"/>
        <v>405</v>
      </c>
    </row>
    <row r="49" spans="1:2" x14ac:dyDescent="0.25">
      <c r="A49" s="69">
        <v>401</v>
      </c>
      <c r="B49">
        <f t="shared" si="0"/>
        <v>200.5</v>
      </c>
    </row>
    <row r="50" spans="1:2" x14ac:dyDescent="0.25">
      <c r="A50" s="69">
        <v>500</v>
      </c>
      <c r="B50">
        <f t="shared" si="0"/>
        <v>250</v>
      </c>
    </row>
    <row r="51" spans="1:2" x14ac:dyDescent="0.25">
      <c r="A51" s="69">
        <v>550</v>
      </c>
      <c r="B51">
        <f t="shared" si="0"/>
        <v>275</v>
      </c>
    </row>
    <row r="52" spans="1:2" x14ac:dyDescent="0.25">
      <c r="A52" s="69">
        <v>625</v>
      </c>
      <c r="B52">
        <f t="shared" si="0"/>
        <v>312.5</v>
      </c>
    </row>
    <row r="53" spans="1:2" x14ac:dyDescent="0.25">
      <c r="A53" s="69">
        <v>699</v>
      </c>
      <c r="B53">
        <f t="shared" si="0"/>
        <v>349.5</v>
      </c>
    </row>
    <row r="54" spans="1:2" x14ac:dyDescent="0.25">
      <c r="A54" s="69">
        <v>775</v>
      </c>
      <c r="B54">
        <f t="shared" si="0"/>
        <v>387.5</v>
      </c>
    </row>
    <row r="55" spans="1:2" x14ac:dyDescent="0.25">
      <c r="A55" s="69">
        <v>848</v>
      </c>
      <c r="B55">
        <f t="shared" si="0"/>
        <v>424</v>
      </c>
    </row>
    <row r="56" spans="1:2" x14ac:dyDescent="0.25">
      <c r="A56" s="69">
        <v>100</v>
      </c>
      <c r="B56">
        <f t="shared" si="0"/>
        <v>50</v>
      </c>
    </row>
    <row r="57" spans="1:2" x14ac:dyDescent="0.25">
      <c r="A57" s="69">
        <v>199</v>
      </c>
      <c r="B57">
        <f t="shared" si="0"/>
        <v>99.5</v>
      </c>
    </row>
    <row r="58" spans="1:2" x14ac:dyDescent="0.25">
      <c r="A58" s="69">
        <v>299</v>
      </c>
      <c r="B58">
        <f t="shared" si="0"/>
        <v>149.5</v>
      </c>
    </row>
    <row r="59" spans="1:2" x14ac:dyDescent="0.25">
      <c r="A59" s="69">
        <v>399</v>
      </c>
      <c r="B59">
        <f t="shared" si="0"/>
        <v>199.5</v>
      </c>
    </row>
    <row r="60" spans="1:2" x14ac:dyDescent="0.25">
      <c r="A60" s="69">
        <v>500</v>
      </c>
      <c r="B60">
        <f t="shared" si="0"/>
        <v>250</v>
      </c>
    </row>
    <row r="61" spans="1:2" x14ac:dyDescent="0.25">
      <c r="A61" s="69">
        <v>549</v>
      </c>
      <c r="B61">
        <f t="shared" si="0"/>
        <v>274.5</v>
      </c>
    </row>
    <row r="62" spans="1:2" x14ac:dyDescent="0.25">
      <c r="A62" s="69">
        <v>624</v>
      </c>
      <c r="B62">
        <f t="shared" si="0"/>
        <v>312</v>
      </c>
    </row>
    <row r="63" spans="1:2" x14ac:dyDescent="0.25">
      <c r="A63" s="69">
        <v>700</v>
      </c>
      <c r="B63">
        <f t="shared" si="0"/>
        <v>350</v>
      </c>
    </row>
    <row r="64" spans="1:2" x14ac:dyDescent="0.25">
      <c r="A64" s="69">
        <v>774</v>
      </c>
      <c r="B64">
        <f t="shared" si="0"/>
        <v>387</v>
      </c>
    </row>
    <row r="65" spans="1:2" x14ac:dyDescent="0.25">
      <c r="A65" s="69">
        <v>100</v>
      </c>
      <c r="B65">
        <f t="shared" si="0"/>
        <v>50</v>
      </c>
    </row>
    <row r="66" spans="1:2" x14ac:dyDescent="0.25">
      <c r="A66" s="69">
        <v>200</v>
      </c>
      <c r="B66">
        <f t="shared" ref="B66:B97" si="7">A66/2</f>
        <v>100</v>
      </c>
    </row>
    <row r="67" spans="1:2" x14ac:dyDescent="0.25">
      <c r="A67" s="69">
        <v>299</v>
      </c>
      <c r="B67">
        <f t="shared" si="7"/>
        <v>149.5</v>
      </c>
    </row>
    <row r="68" spans="1:2" x14ac:dyDescent="0.25">
      <c r="A68" s="69">
        <v>401</v>
      </c>
      <c r="B68">
        <f t="shared" si="7"/>
        <v>200.5</v>
      </c>
    </row>
    <row r="69" spans="1:2" x14ac:dyDescent="0.25">
      <c r="A69" s="69">
        <v>500</v>
      </c>
      <c r="B69">
        <f t="shared" si="7"/>
        <v>250</v>
      </c>
    </row>
    <row r="70" spans="1:2" x14ac:dyDescent="0.25">
      <c r="A70" s="69">
        <v>551</v>
      </c>
      <c r="B70">
        <f t="shared" si="7"/>
        <v>275.5</v>
      </c>
    </row>
    <row r="71" spans="1:2" x14ac:dyDescent="0.25">
      <c r="A71" s="69">
        <v>624</v>
      </c>
      <c r="B71">
        <f t="shared" si="7"/>
        <v>312</v>
      </c>
    </row>
    <row r="72" spans="1:2" x14ac:dyDescent="0.25">
      <c r="A72" s="69">
        <v>699</v>
      </c>
      <c r="B72">
        <f t="shared" si="7"/>
        <v>349.5</v>
      </c>
    </row>
    <row r="73" spans="1:2" x14ac:dyDescent="0.25">
      <c r="A73" s="69">
        <v>68</v>
      </c>
      <c r="B73">
        <f t="shared" si="7"/>
        <v>34</v>
      </c>
    </row>
    <row r="74" spans="1:2" x14ac:dyDescent="0.25">
      <c r="A74" s="69">
        <v>200</v>
      </c>
      <c r="B74">
        <f t="shared" si="7"/>
        <v>100</v>
      </c>
    </row>
    <row r="75" spans="1:2" x14ac:dyDescent="0.25">
      <c r="A75" s="69">
        <v>302</v>
      </c>
      <c r="B75">
        <f t="shared" si="7"/>
        <v>151</v>
      </c>
    </row>
    <row r="76" spans="1:2" x14ac:dyDescent="0.25">
      <c r="A76" s="69">
        <v>377</v>
      </c>
      <c r="B76">
        <f t="shared" si="7"/>
        <v>188.5</v>
      </c>
    </row>
    <row r="77" spans="1:2" x14ac:dyDescent="0.25">
      <c r="A77" s="69">
        <v>425</v>
      </c>
      <c r="B77">
        <f t="shared" si="7"/>
        <v>212.5</v>
      </c>
    </row>
    <row r="78" spans="1:2" x14ac:dyDescent="0.25">
      <c r="A78" s="69">
        <v>526</v>
      </c>
      <c r="B78">
        <f t="shared" si="7"/>
        <v>263</v>
      </c>
    </row>
    <row r="79" spans="1:2" x14ac:dyDescent="0.25">
      <c r="A79" s="69">
        <v>602</v>
      </c>
      <c r="B79">
        <f t="shared" si="7"/>
        <v>301</v>
      </c>
    </row>
    <row r="80" spans="1:2" x14ac:dyDescent="0.25">
      <c r="A80" s="69">
        <v>677</v>
      </c>
      <c r="B80">
        <f t="shared" si="7"/>
        <v>338.5</v>
      </c>
    </row>
    <row r="81" spans="1:2" x14ac:dyDescent="0.25">
      <c r="A81" s="69">
        <v>205</v>
      </c>
      <c r="B81">
        <f t="shared" si="7"/>
        <v>102.5</v>
      </c>
    </row>
    <row r="82" spans="1:2" x14ac:dyDescent="0.25">
      <c r="A82" s="69">
        <v>502</v>
      </c>
      <c r="B82">
        <f t="shared" si="7"/>
        <v>251</v>
      </c>
    </row>
    <row r="83" spans="1:2" x14ac:dyDescent="0.25">
      <c r="A83" s="69">
        <v>751</v>
      </c>
      <c r="B83">
        <f t="shared" si="7"/>
        <v>375.5</v>
      </c>
    </row>
    <row r="84" spans="1:2" x14ac:dyDescent="0.25">
      <c r="A84" s="69">
        <v>1001</v>
      </c>
      <c r="B84">
        <f t="shared" si="7"/>
        <v>500.5</v>
      </c>
    </row>
    <row r="85" spans="1:2" x14ac:dyDescent="0.25">
      <c r="A85" s="69">
        <v>1068</v>
      </c>
      <c r="B85">
        <f t="shared" si="7"/>
        <v>534</v>
      </c>
    </row>
    <row r="86" spans="1:2" x14ac:dyDescent="0.25">
      <c r="A86" s="69">
        <v>1249</v>
      </c>
      <c r="B86">
        <f t="shared" si="7"/>
        <v>624.5</v>
      </c>
    </row>
    <row r="87" spans="1:2" x14ac:dyDescent="0.25">
      <c r="A87" s="69">
        <v>1402</v>
      </c>
      <c r="B87">
        <f t="shared" si="7"/>
        <v>701</v>
      </c>
    </row>
    <row r="88" spans="1:2" x14ac:dyDescent="0.25">
      <c r="A88" s="69">
        <v>1549</v>
      </c>
      <c r="B88">
        <f t="shared" si="7"/>
        <v>774.5</v>
      </c>
    </row>
    <row r="89" spans="1:2" x14ac:dyDescent="0.25">
      <c r="A89" s="69">
        <v>201</v>
      </c>
      <c r="B89">
        <f t="shared" si="7"/>
        <v>100.5</v>
      </c>
    </row>
    <row r="90" spans="1:2" x14ac:dyDescent="0.25">
      <c r="A90" s="69">
        <v>499</v>
      </c>
      <c r="B90">
        <f t="shared" si="7"/>
        <v>249.5</v>
      </c>
    </row>
    <row r="91" spans="1:2" x14ac:dyDescent="0.25">
      <c r="A91" s="69">
        <v>749</v>
      </c>
      <c r="B91">
        <f t="shared" si="7"/>
        <v>374.5</v>
      </c>
    </row>
    <row r="92" spans="1:2" x14ac:dyDescent="0.25">
      <c r="A92" s="69">
        <v>1000</v>
      </c>
      <c r="B92">
        <f t="shared" si="7"/>
        <v>500</v>
      </c>
    </row>
    <row r="93" spans="1:2" x14ac:dyDescent="0.25">
      <c r="A93" s="69">
        <v>1103</v>
      </c>
      <c r="B93">
        <f t="shared" si="7"/>
        <v>551.5</v>
      </c>
    </row>
    <row r="94" spans="1:2" x14ac:dyDescent="0.25">
      <c r="A94" s="69">
        <v>1247</v>
      </c>
      <c r="B94">
        <f t="shared" si="7"/>
        <v>623.5</v>
      </c>
    </row>
    <row r="95" spans="1:2" x14ac:dyDescent="0.25">
      <c r="A95" s="69">
        <v>1399</v>
      </c>
      <c r="B95">
        <f t="shared" si="7"/>
        <v>699.5</v>
      </c>
    </row>
    <row r="96" spans="1:2" x14ac:dyDescent="0.25">
      <c r="A96" s="69">
        <v>1549</v>
      </c>
      <c r="B96">
        <f t="shared" si="7"/>
        <v>774.5</v>
      </c>
    </row>
    <row r="97" spans="1:2" ht="15.75" thickBot="1" x14ac:dyDescent="0.3">
      <c r="A97" s="71">
        <v>1697</v>
      </c>
      <c r="B97">
        <f t="shared" si="7"/>
        <v>848.5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120Cracks</vt:lpstr>
      <vt:lpstr>95Cracks</vt:lpstr>
      <vt:lpstr>7specimen</vt:lpstr>
      <vt:lpstr>5specimen</vt:lpstr>
      <vt:lpstr>2specimen</vt:lpstr>
      <vt:lpstr>2meter</vt:lpstr>
      <vt:lpstr>low_a_d</vt:lpstr>
      <vt:lpstr>simpletable</vt:lpstr>
      <vt:lpstr>Sheet1</vt:lpstr>
      <vt:lpstr>shearstrength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Rouzbeh Davoudi</dc:creator>
  <cp:lastModifiedBy>Rouzbeh Davoudi</cp:lastModifiedBy>
  <dcterms:created xsi:type="dcterms:W3CDTF">2016-05-16T03:05:09Z</dcterms:created>
  <dcterms:modified xsi:type="dcterms:W3CDTF">2017-01-25T15:12:46Z</dcterms:modified>
</cp:coreProperties>
</file>